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\EXCEL\WATER\MANAGE\PR19\PR14 Reconciliation models\Final models Submission July 2018\"/>
    </mc:Choice>
  </mc:AlternateContent>
  <bookViews>
    <workbookView xWindow="0" yWindow="0" windowWidth="14400" windowHeight="6288"/>
  </bookViews>
  <sheets>
    <sheet name="Inputs" sheetId="6" r:id="rId1"/>
    <sheet name="Calcs" sheetId="5" r:id="rId2"/>
    <sheet name="Lis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_xlnm.Print_Area" localSheetId="1">Calcs!$A$1:$P$96</definedName>
    <definedName name="_xlnm.Print_Area" localSheetId="0">Inputs!$A$1:$P$75</definedName>
    <definedName name="Reforecast.Customer.Numbers">Inputs!$L$20:$P$25</definedName>
    <definedName name="Revenue.Sacrifice">Inputs!$L$44:$P$49</definedName>
  </definedNames>
  <calcPr calcId="162913"/>
</workbook>
</file>

<file path=xl/calcChain.xml><?xml version="1.0" encoding="utf-8"?>
<calcChain xmlns="http://schemas.openxmlformats.org/spreadsheetml/2006/main">
  <c r="P39" i="6" l="1"/>
  <c r="P36" i="6"/>
  <c r="O39" i="6"/>
  <c r="O36" i="6"/>
  <c r="N39" i="6" l="1"/>
  <c r="N36" i="6"/>
  <c r="P31" i="6"/>
  <c r="P28" i="6"/>
  <c r="O31" i="6"/>
  <c r="O28" i="6"/>
  <c r="N31" i="6"/>
  <c r="N28" i="6"/>
  <c r="P20" i="6" l="1"/>
  <c r="P23" i="6"/>
  <c r="M31" i="6"/>
  <c r="L31" i="6"/>
  <c r="M28" i="6"/>
  <c r="L28" i="6"/>
  <c r="M39" i="6"/>
  <c r="L39" i="6"/>
  <c r="M36" i="6"/>
  <c r="L36" i="6"/>
  <c r="O23" i="6"/>
  <c r="N23" i="6"/>
  <c r="M23" i="6"/>
  <c r="L23" i="6"/>
  <c r="O20" i="6"/>
  <c r="N20" i="6"/>
  <c r="M20" i="6"/>
  <c r="L20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P26" i="5" s="1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M72" i="5" s="1"/>
  <c r="O63" i="5"/>
  <c r="O74" i="5" s="1"/>
  <c r="L62" i="5"/>
  <c r="L73" i="5" s="1"/>
  <c r="N60" i="5"/>
  <c r="N71" i="5" s="1"/>
  <c r="M58" i="5"/>
  <c r="M69" i="5" s="1"/>
  <c r="N62" i="5"/>
  <c r="N73" i="5" s="1"/>
  <c r="P60" i="5"/>
  <c r="P71" i="5" s="1"/>
  <c r="M59" i="5"/>
  <c r="M70" i="5" s="1"/>
  <c r="N63" i="5"/>
  <c r="N74" i="5" s="1"/>
  <c r="P61" i="5"/>
  <c r="P72" i="5" s="1"/>
  <c r="M60" i="5"/>
  <c r="M71" i="5" s="1"/>
  <c r="P58" i="5"/>
  <c r="N61" i="5"/>
  <c r="N72" i="5" s="1"/>
  <c r="P62" i="5"/>
  <c r="P73" i="5" s="1"/>
  <c r="L63" i="5"/>
  <c r="L74" i="5" s="1"/>
  <c r="P59" i="5"/>
  <c r="P70" i="5" s="1"/>
  <c r="O58" i="5"/>
  <c r="O69" i="5" s="1"/>
  <c r="O59" i="5"/>
  <c r="O70" i="5" s="1"/>
  <c r="M63" i="5"/>
  <c r="M74" i="5" s="1"/>
  <c r="O61" i="5"/>
  <c r="O72" i="5" s="1"/>
  <c r="L60" i="5"/>
  <c r="L71" i="5" s="1"/>
  <c r="N58" i="5"/>
  <c r="N69" i="5" s="1"/>
  <c r="O62" i="5"/>
  <c r="O73" i="5" s="1"/>
  <c r="L61" i="5"/>
  <c r="L72" i="5" s="1"/>
  <c r="N59" i="5"/>
  <c r="N70" i="5" s="1"/>
  <c r="P63" i="5"/>
  <c r="P74" i="5" s="1"/>
  <c r="M62" i="5"/>
  <c r="M73" i="5" s="1"/>
  <c r="O60" i="5"/>
  <c r="O71" i="5" s="1"/>
  <c r="L59" i="5"/>
  <c r="L70" i="5" s="1"/>
  <c r="L58" i="5"/>
  <c r="L69" i="5" s="1"/>
  <c r="N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 l="1"/>
  <c r="P69" i="5"/>
  <c r="P75" i="5" s="1"/>
  <c r="P90" i="5" s="1"/>
  <c r="P64" i="5"/>
  <c r="P80" i="5" s="1"/>
  <c r="N75" i="5"/>
  <c r="L75" i="5"/>
  <c r="L86" i="5" s="1"/>
  <c r="M75" i="5"/>
  <c r="O75" i="5"/>
  <c r="O89" i="5" s="1"/>
  <c r="P89" i="5" s="1"/>
  <c r="O64" i="5"/>
  <c r="O80" i="5" s="1"/>
  <c r="N64" i="5"/>
  <c r="N80" i="5" s="1"/>
  <c r="L64" i="5"/>
  <c r="L80" i="5" s="1"/>
  <c r="M64" i="5"/>
  <c r="M80" i="5" s="1"/>
  <c r="N88" i="5" l="1"/>
  <c r="O88" i="5" s="1"/>
  <c r="P88" i="5" s="1"/>
  <c r="M87" i="5"/>
  <c r="N87" i="5" s="1"/>
  <c r="O87" i="5" s="1"/>
  <c r="P87" i="5" s="1"/>
  <c r="M86" i="5"/>
  <c r="N86" i="5" s="1"/>
  <c r="O86" i="5" s="1"/>
  <c r="P86" i="5" s="1"/>
  <c r="W80" i="5"/>
  <c r="W81" i="5" s="1"/>
  <c r="P77" i="5"/>
  <c r="P66" i="5"/>
  <c r="P92" i="5" l="1"/>
  <c r="W82" i="5"/>
  <c r="P94" i="5" l="1"/>
</calcChain>
</file>

<file path=xl/sharedStrings.xml><?xml version="1.0" encoding="utf-8"?>
<sst xmlns="http://schemas.openxmlformats.org/spreadsheetml/2006/main" count="254" uniqueCount="85">
  <si>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</si>
  <si>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</si>
  <si>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</si>
  <si>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</si>
  <si>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</si>
  <si>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</si>
  <si>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</si>
  <si>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</si>
  <si>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</si>
  <si>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</si>
  <si>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</si>
  <si>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</si>
  <si>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</si>
  <si>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</si>
  <si>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</si>
  <si>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</si>
  <si>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</si>
  <si>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</si>
  <si>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</si>
  <si>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</si>
  <si>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</si>
  <si>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</si>
  <si>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</si>
  <si>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</si>
  <si>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</si>
  <si>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</si>
  <si>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</si>
  <si>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</si>
  <si>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</si>
  <si>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</si>
  <si>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</si>
  <si>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</si>
  <si>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</si>
  <si>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</si>
  <si>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</si>
  <si>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</si>
  <si>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</si>
  <si>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</si>
  <si>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</si>
  <si>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</si>
  <si>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</si>
  <si>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</si>
  <si>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</si>
  <si>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</si>
  <si>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</si>
  <si>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</si>
  <si>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</si>
  <si>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</si>
  <si>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</si>
  <si>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</si>
  <si>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</si>
  <si>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</si>
  <si>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</si>
  <si>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</si>
  <si>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</si>
  <si>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</si>
  <si>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</si>
  <si>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</si>
  <si>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</si>
  <si>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</si>
  <si>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</si>
  <si>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</si>
  <si>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</si>
  <si>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</si>
  <si>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</si>
  <si>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</si>
  <si>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</si>
  <si>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</si>
  <si>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</si>
  <si>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</si>
  <si>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</si>
  <si>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</si>
  <si>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Total Net Adjument incl. financing adjustment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</si>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</sst>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</numFmts>
  <fonts count="6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1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4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0" borderId="0">
      <alignment vertical="top"/>
    </xf>
    <xf numFmtId="0" fontId="19" fillId="0" borderId="0" applyNumberFormat="0" applyFont="0" applyFill="0" applyBorder="0" applyAlignment="0" applyProtection="0"/>
    <xf numFmtId="37" fontId="46" fillId="50" borderId="25">
      <alignment horizontal="left"/>
    </xf>
    <xf numFmtId="37" fontId="43" fillId="50" borderId="26"/>
    <xf numFmtId="0" fontId="19" fillId="50" borderId="27" applyNumberFormat="0" applyBorder="0"/>
    <xf numFmtId="0" fontId="19" fillId="0" borderId="0" applyFont="0" applyFill="0" applyBorder="0" applyAlignment="0" applyProtection="0"/>
    <xf numFmtId="0" fontId="46" fillId="51" borderId="0"/>
    <xf numFmtId="0" fontId="19" fillId="52" borderId="20"/>
    <xf numFmtId="0" fontId="19" fillId="52" borderId="20"/>
    <xf numFmtId="0" fontId="46" fillId="52" borderId="0"/>
    <xf numFmtId="0" fontId="19" fillId="53" borderId="0"/>
    <xf numFmtId="0" fontId="19" fillId="53" borderId="0"/>
    <xf numFmtId="0" fontId="19" fillId="53" borderId="0"/>
    <xf numFmtId="0" fontId="58" fillId="50" borderId="28"/>
    <xf numFmtId="37" fontId="19" fillId="50" borderId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3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8" fillId="0" borderId="0"/>
    <xf numFmtId="9" fontId="19" fillId="0" borderId="0" applyFont="0" applyFill="0" applyBorder="0" applyAlignment="0" applyProtection="0"/>
    <xf numFmtId="37" fontId="61" fillId="54" borderId="29"/>
    <xf numFmtId="0" fontId="62" fillId="0" borderId="30">
      <alignment horizontal="right"/>
    </xf>
  </cellStyleXfs>
  <cellXfs count="98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" fontId="43" fillId="0" borderId="17" xfId="0" applyNumberFormat="1" applyFont="1" applyFill="1" applyBorder="1" applyAlignment="1" applyProtection="1">
      <alignment horizontal="center"/>
    </xf>
    <xf numFmtId="1" fontId="44" fillId="43" borderId="1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 applyFill="1" applyAlignment="1">
      <alignment vertical="center"/>
    </xf>
    <xf numFmtId="164" fontId="19" fillId="46" borderId="20" xfId="0" applyNumberFormat="1" applyFont="1" applyFill="1" applyBorder="1" applyAlignment="1">
      <alignment horizontal="right" vertical="center"/>
    </xf>
    <xf numFmtId="49" fontId="47" fillId="45" borderId="18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49" fontId="47" fillId="45" borderId="17" xfId="0" applyNumberFormat="1" applyFont="1" applyFill="1" applyBorder="1" applyAlignment="1">
      <alignment horizontal="right" vertical="center"/>
    </xf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49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50" fillId="0" borderId="0" xfId="0" applyFont="1"/>
    <xf numFmtId="0" fontId="45" fillId="47" borderId="21" xfId="0" applyFont="1" applyFill="1" applyBorder="1"/>
    <xf numFmtId="0" fontId="45" fillId="47" borderId="22" xfId="0" applyFont="1" applyFill="1" applyBorder="1"/>
    <xf numFmtId="166" fontId="38" fillId="0" borderId="0" xfId="0" applyNumberFormat="1" applyFont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1" fillId="0" borderId="0" xfId="0" applyFont="1"/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/>
    <xf numFmtId="0" fontId="52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64" fontId="19" fillId="49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0" fillId="0" borderId="0" xfId="0" applyFont="1"/>
    <xf numFmtId="166" fontId="6" fillId="0" borderId="0" xfId="0" applyNumberFormat="1" applyFont="1" applyBorder="1"/>
    <xf numFmtId="164" fontId="38" fillId="33" borderId="14" xfId="46" applyNumberFormat="1" applyFont="1"/>
    <xf numFmtId="164" fontId="0" fillId="0" borderId="0" xfId="0" applyNumberFormat="1"/>
    <xf numFmtId="164" fontId="38" fillId="0" borderId="0" xfId="0" applyNumberFormat="1" applyFont="1"/>
    <xf numFmtId="164" fontId="47" fillId="45" borderId="19" xfId="0" applyNumberFormat="1" applyFont="1" applyFill="1" applyBorder="1" applyAlignment="1">
      <alignment horizontal="left" vertical="center"/>
    </xf>
    <xf numFmtId="164" fontId="38" fillId="0" borderId="0" xfId="0" applyNumberFormat="1" applyFont="1" applyFill="1"/>
    <xf numFmtId="164" fontId="6" fillId="0" borderId="0" xfId="0" applyNumberFormat="1" applyFont="1" applyBorder="1"/>
    <xf numFmtId="165" fontId="0" fillId="33" borderId="14" xfId="46" applyNumberFormat="1" applyFont="1"/>
    <xf numFmtId="164" fontId="38" fillId="0" borderId="0" xfId="46" applyNumberFormat="1" applyFont="1" applyFill="1" applyBorder="1"/>
    <xf numFmtId="0" fontId="4" fillId="33" borderId="14" xfId="46" applyNumberFormat="1" applyFont="1"/>
    <xf numFmtId="0" fontId="0" fillId="0" borderId="0" xfId="0" applyAlignment="1">
      <alignment horizontal="left" indent="1"/>
    </xf>
    <xf numFmtId="164" fontId="38" fillId="0" borderId="23" xfId="0" applyNumberFormat="1" applyFont="1" applyFill="1" applyBorder="1"/>
    <xf numFmtId="0" fontId="0" fillId="48" borderId="22" xfId="0" applyFill="1" applyBorder="1"/>
    <xf numFmtId="0" fontId="40" fillId="48" borderId="22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4" fillId="44" borderId="19" xfId="72" applyFont="1" applyFill="1" applyBorder="1" applyAlignment="1">
      <alignment horizontal="left" vertical="center"/>
    </xf>
    <xf numFmtId="0" fontId="55" fillId="0" borderId="0" xfId="0" applyFont="1"/>
    <xf numFmtId="0" fontId="56" fillId="45" borderId="19" xfId="0" applyFont="1" applyFill="1" applyBorder="1" applyAlignment="1">
      <alignment horizontal="left" vertical="center"/>
    </xf>
    <xf numFmtId="0" fontId="50" fillId="0" borderId="0" xfId="78" applyFont="1" applyFill="1" applyBorder="1" applyAlignment="1" applyProtection="1">
      <alignment vertical="center"/>
      <protection locked="0"/>
    </xf>
    <xf numFmtId="0" fontId="55" fillId="48" borderId="22" xfId="0" applyFont="1" applyFill="1" applyBorder="1"/>
    <xf numFmtId="0" fontId="57" fillId="47" borderId="22" xfId="0" applyFont="1" applyFill="1" applyBorder="1"/>
    <xf numFmtId="0" fontId="50" fillId="0" borderId="0" xfId="0" applyNumberFormat="1" applyFont="1"/>
    <xf numFmtId="0" fontId="2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2" fillId="0" borderId="0" xfId="0" applyFont="1"/>
    <xf numFmtId="0" fontId="19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20" xfId="0" applyFont="1" applyFill="1" applyBorder="1"/>
    <xf numFmtId="10" fontId="0" fillId="33" borderId="14" xfId="83" applyNumberFormat="1" applyFont="1" applyFill="1" applyBorder="1"/>
    <xf numFmtId="166" fontId="2" fillId="0" borderId="0" xfId="0" applyNumberFormat="1" applyFont="1" applyFill="1"/>
    <xf numFmtId="164" fontId="2" fillId="55" borderId="14" xfId="46" applyNumberFormat="1" applyFont="1" applyFill="1"/>
    <xf numFmtId="165" fontId="0" fillId="55" borderId="14" xfId="46" applyNumberFormat="1" applyFont="1" applyFill="1"/>
    <xf numFmtId="164" fontId="38" fillId="55" borderId="14" xfId="46" applyNumberFormat="1" applyFont="1" applyFill="1"/>
    <xf numFmtId="164" fontId="19" fillId="46" borderId="20" xfId="0" quotePrefix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indent="1"/>
    </xf>
    <xf numFmtId="167" fontId="38" fillId="0" borderId="0" xfId="83" applyNumberFormat="1" applyFont="1" applyFill="1"/>
    <xf numFmtId="0" fontId="0" fillId="56" borderId="0" xfId="0" applyFill="1"/>
    <xf numFmtId="0" fontId="38" fillId="0" borderId="0" xfId="0" applyFont="1" applyFill="1"/>
    <xf numFmtId="0" fontId="2" fillId="0" borderId="0" xfId="0" applyFont="1" applyFill="1" applyAlignment="1">
      <alignment horizontal="center"/>
    </xf>
    <xf numFmtId="0" fontId="38" fillId="52" borderId="0" xfId="0" applyFont="1" applyFill="1"/>
    <xf numFmtId="164" fontId="2" fillId="33" borderId="14" xfId="46" applyNumberFormat="1" applyFont="1"/>
    <xf numFmtId="164" fontId="19" fillId="55" borderId="14" xfId="46" applyNumberFormat="1" applyFont="1" applyFill="1"/>
    <xf numFmtId="164" fontId="19" fillId="33" borderId="14" xfId="46" applyNumberFormat="1" applyFont="1"/>
    <xf numFmtId="166" fontId="2" fillId="55" borderId="14" xfId="46" applyNumberFormat="1" applyFont="1" applyFill="1"/>
    <xf numFmtId="166" fontId="19" fillId="55" borderId="14" xfId="46" applyNumberFormat="1" applyFont="1" applyFill="1"/>
    <xf numFmtId="166" fontId="19" fillId="33" borderId="14" xfId="46" applyNumberFormat="1" applyFont="1"/>
    <xf numFmtId="166" fontId="38" fillId="0" borderId="0" xfId="46" applyNumberFormat="1" applyFont="1" applyFill="1" applyBorder="1"/>
    <xf numFmtId="166" fontId="38" fillId="0" borderId="23" xfId="0" applyNumberFormat="1" applyFont="1" applyFill="1" applyBorder="1"/>
    <xf numFmtId="166" fontId="38" fillId="0" borderId="0" xfId="0" applyNumberFormat="1" applyFont="1" applyFill="1"/>
    <xf numFmtId="166" fontId="45" fillId="0" borderId="14" xfId="0" applyNumberFormat="1" applyFont="1" applyFill="1" applyBorder="1"/>
    <xf numFmtId="166" fontId="6" fillId="0" borderId="0" xfId="0" applyNumberFormat="1" applyFont="1" applyFill="1" applyBorder="1"/>
    <xf numFmtId="166" fontId="38" fillId="0" borderId="0" xfId="0" applyNumberFormat="1" applyFont="1" applyFill="1" applyBorder="1"/>
    <xf numFmtId="166" fontId="38" fillId="0" borderId="24" xfId="0" applyNumberFormat="1" applyFont="1" applyFill="1" applyBorder="1"/>
    <xf numFmtId="166" fontId="45" fillId="0" borderId="14" xfId="0" applyNumberFormat="1" applyFont="1" applyBorder="1"/>
    <xf numFmtId="166" fontId="38" fillId="0" borderId="0" xfId="0" applyNumberFormat="1" applyFont="1" applyBorder="1"/>
    <xf numFmtId="166" fontId="45" fillId="0" borderId="0" xfId="0" applyNumberFormat="1" applyFont="1" applyBorder="1"/>
    <xf numFmtId="166" fontId="45" fillId="0" borderId="0" xfId="0" applyNumberFormat="1" applyFont="1" applyFill="1" applyBorder="1"/>
    <xf numFmtId="166" fontId="0" fillId="0" borderId="0" xfId="0" applyNumberFormat="1"/>
    <xf numFmtId="166" fontId="38" fillId="0" borderId="14" xfId="46" applyNumberFormat="1" applyFont="1" applyFill="1"/>
  </cellXfs>
  <cellStyles count="112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Reference%20files/SSC%20average%20bill%20by%20reg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Reference%20files/sub_co20151124averagebil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Reference%20files/SSC%20Average-Bills-template-for-2017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Reference%20files/SSC%20Average-bills-template-for-2018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5_16/JR16/0%20-%20FOR%20SUBMISSION/SSC%202015-16%20APR%20DATA%20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6_17/JR17/Ofwat%20Submission/SSC%202016-17-APR-tabl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Year_End_17_18/JR18/2017-18%20APR%20excel%20tables%20(cleansed%20for%20republication%20June%20201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incipal%20Statement/2018-19/PR19%20Tariff%20Breakdowns/PR19%20Table%20WS3%20for%20Dan%20Haire%2014_12_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PR19/Accounting%20for%20past%20delivery/PR14%20reconciliation%20summ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4">
          <cell r="B4">
            <v>38040</v>
          </cell>
        </row>
        <row r="8">
          <cell r="B8">
            <v>86213.276844526496</v>
          </cell>
        </row>
        <row r="18">
          <cell r="B18">
            <v>344170.39049999998</v>
          </cell>
        </row>
        <row r="22">
          <cell r="B22">
            <v>182883.48125000001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bills template"/>
      <sheetName val="1516 unmeasured"/>
      <sheetName val="1516 measured"/>
      <sheetName val="R165 1Dec"/>
    </sheetNames>
    <sheetDataSet>
      <sheetData sheetId="0">
        <row r="21">
          <cell r="D21">
            <v>342.887</v>
          </cell>
        </row>
        <row r="22">
          <cell r="D22">
            <v>189.102</v>
          </cell>
        </row>
        <row r="41">
          <cell r="D41">
            <v>37.402999999999999</v>
          </cell>
        </row>
        <row r="42">
          <cell r="D42">
            <v>91.18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bills template - SST"/>
    </sheetNames>
    <sheetDataSet>
      <sheetData sheetId="0">
        <row r="31">
          <cell r="D31">
            <v>337.29966666666667</v>
          </cell>
        </row>
        <row r="32">
          <cell r="D32">
            <v>194.45500000000001</v>
          </cell>
        </row>
        <row r="59">
          <cell r="D59">
            <v>35.204999999999998</v>
          </cell>
        </row>
        <row r="60">
          <cell r="D60">
            <v>93.533000000000001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bills template"/>
    </sheetNames>
    <sheetDataSet>
      <sheetData sheetId="0">
        <row r="31">
          <cell r="D31">
            <v>333.13099999999997</v>
          </cell>
        </row>
        <row r="32">
          <cell r="D32">
            <v>203.53100000000001</v>
          </cell>
        </row>
        <row r="59">
          <cell r="D59">
            <v>33.639000000000003</v>
          </cell>
        </row>
        <row r="60">
          <cell r="D60">
            <v>96.332999999999998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troduction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2A"/>
      <sheetName val="2B"/>
      <sheetName val="2C"/>
      <sheetName val="2D"/>
      <sheetName val="2E"/>
      <sheetName val="2F"/>
      <sheetName val="2G"/>
      <sheetName val="2H"/>
      <sheetName val="2I"/>
      <sheetName val="Section 3 -&gt;"/>
      <sheetName val="3A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Lists"/>
      <sheetName val="PC LIST"/>
      <sheetName val="PC list edited"/>
      <sheetName val="Water"/>
      <sheetName val="Sewe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H15">
            <v>55.678364450461657</v>
          </cell>
        </row>
      </sheetData>
      <sheetData sheetId="12"/>
      <sheetData sheetId="13"/>
      <sheetData sheetId="14">
        <row r="7">
          <cell r="G7">
            <v>2.60538662</v>
          </cell>
        </row>
      </sheetData>
      <sheetData sheetId="15">
        <row r="5">
          <cell r="E5">
            <v>8.8705380888626841</v>
          </cell>
          <cell r="G5">
            <v>385.58850000000001</v>
          </cell>
        </row>
        <row r="8">
          <cell r="E8">
            <v>6.063264891883084</v>
          </cell>
          <cell r="G8">
            <v>273.77050000000003</v>
          </cell>
        </row>
      </sheetData>
      <sheetData sheetId="16"/>
      <sheetData sheetId="17"/>
      <sheetData sheetId="18">
        <row r="17">
          <cell r="H17">
            <v>100.22474674031888</v>
          </cell>
        </row>
      </sheetData>
      <sheetData sheetId="19"/>
      <sheetData sheetId="20">
        <row r="5">
          <cell r="L5">
            <v>0.16200000000000614</v>
          </cell>
        </row>
      </sheetData>
      <sheetData sheetId="21"/>
      <sheetData sheetId="22"/>
      <sheetData sheetId="23">
        <row r="10">
          <cell r="F10">
            <v>1.6420734161045394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troduction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CLEAR_SHEET"/>
      <sheetName val="2A"/>
      <sheetName val="2B"/>
      <sheetName val="2C"/>
      <sheetName val="2D"/>
      <sheetName val="2E"/>
      <sheetName val="2F"/>
      <sheetName val="2G"/>
      <sheetName val="2H"/>
      <sheetName val="2I"/>
      <sheetName val="Section 3 -&gt;"/>
      <sheetName val="3A"/>
      <sheetName val="3B"/>
      <sheetName val="3C"/>
      <sheetName val="3D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Lists"/>
      <sheetName val="PC LIST"/>
      <sheetName val="PC list edited"/>
      <sheetName val="SUB LIST"/>
      <sheetName val="SUB list edited"/>
      <sheetName val="Water"/>
      <sheetName val="Sewerage"/>
    </sheetNames>
    <sheetDataSet>
      <sheetData sheetId="0"/>
      <sheetData sheetId="1"/>
      <sheetData sheetId="2"/>
      <sheetData sheetId="3"/>
      <sheetData sheetId="4">
        <row r="18">
          <cell r="J18">
            <v>17.050063019999993</v>
          </cell>
        </row>
      </sheetData>
      <sheetData sheetId="5"/>
      <sheetData sheetId="6">
        <row r="8">
          <cell r="J8">
            <v>0</v>
          </cell>
        </row>
      </sheetData>
      <sheetData sheetId="7"/>
      <sheetData sheetId="8">
        <row r="14">
          <cell r="I14">
            <v>0.63216083670123768</v>
          </cell>
        </row>
      </sheetData>
      <sheetData sheetId="9"/>
      <sheetData sheetId="10"/>
      <sheetData sheetId="11">
        <row r="6">
          <cell r="F6">
            <v>14.678839421569487</v>
          </cell>
        </row>
      </sheetData>
      <sheetData sheetId="12">
        <row r="24">
          <cell r="J24">
            <v>35.559224562000011</v>
          </cell>
        </row>
      </sheetData>
      <sheetData sheetId="13"/>
      <sheetData sheetId="14">
        <row r="11">
          <cell r="F11">
            <v>10.537825639999999</v>
          </cell>
        </row>
      </sheetData>
      <sheetData sheetId="15">
        <row r="7">
          <cell r="G7">
            <v>2.8047646299999998</v>
          </cell>
        </row>
      </sheetData>
      <sheetData sheetId="16">
        <row r="5">
          <cell r="E5">
            <v>8.572653656404464</v>
          </cell>
          <cell r="G5">
            <v>375.452</v>
          </cell>
        </row>
        <row r="8">
          <cell r="E8">
            <v>6.1059857651650242</v>
          </cell>
          <cell r="G8">
            <v>284.65300000000002</v>
          </cell>
        </row>
      </sheetData>
      <sheetData sheetId="17"/>
      <sheetData sheetId="18"/>
      <sheetData sheetId="19">
        <row r="6">
          <cell r="F6">
            <v>45.873686593595544</v>
          </cell>
        </row>
      </sheetData>
      <sheetData sheetId="20"/>
      <sheetData sheetId="21">
        <row r="7">
          <cell r="N7">
            <v>0.90600000000000003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F10">
            <v>1.679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Outputs (non-group)"/>
      <sheetName val="F_Outputs (group)"/>
      <sheetName val="Water PR16"/>
      <sheetName val="Sewerage PR16"/>
      <sheetName val="Introduction"/>
      <sheetName val="CLEAR_SHEET"/>
      <sheetName val="Change log"/>
      <sheetName val="Validation"/>
      <sheetName val="Section 1 -&gt;"/>
      <sheetName val="1A"/>
      <sheetName val="1B"/>
      <sheetName val="1C"/>
      <sheetName val="1D"/>
      <sheetName val="1E"/>
      <sheetName val="Section 2 -&gt;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Section 3 -&gt;"/>
      <sheetName val="3A"/>
      <sheetName val="3B"/>
      <sheetName val="3C"/>
      <sheetName val="3D"/>
      <sheetName val="3S"/>
      <sheetName val="Section 4 -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4V"/>
      <sheetName val="4W"/>
      <sheetName val="Other -&gt;"/>
      <sheetName val="Bioresources"/>
      <sheetName val="Lists"/>
      <sheetName val="PC LIST"/>
      <sheetName val="PC list edited"/>
      <sheetName val="SUB LIST"/>
      <sheetName val="SUB list edited"/>
      <sheetName val="Water"/>
      <sheetName val="Sewerage"/>
      <sheetName val="LWT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F5">
            <v>8.4778160837196328</v>
          </cell>
          <cell r="H5">
            <v>380.90506575328442</v>
          </cell>
        </row>
        <row r="8">
          <cell r="F8">
            <v>6.739744892187689</v>
          </cell>
          <cell r="H8">
            <v>289.75564931489714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3 Combined"/>
      <sheetName val="SST"/>
      <sheetName val="Cambs"/>
    </sheetNames>
    <sheetDataSet>
      <sheetData sheetId="0">
        <row r="24">
          <cell r="N24">
            <v>311.50339732863603</v>
          </cell>
          <cell r="O24">
            <v>326.60756291659266</v>
          </cell>
        </row>
        <row r="25">
          <cell r="N25">
            <v>366.01815811999461</v>
          </cell>
          <cell r="O25">
            <v>359.61311282850272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3a ODI Table"/>
    </sheetNames>
    <sheetDataSet>
      <sheetData sheetId="0"/>
      <sheetData sheetId="1"/>
      <sheetData sheetId="2">
        <row r="16">
          <cell r="E16">
            <v>9.3495772895333804</v>
          </cell>
          <cell r="F16">
            <v>9.6135371436074379</v>
          </cell>
        </row>
        <row r="17">
          <cell r="E17">
            <v>7.4327828250786245</v>
          </cell>
          <cell r="F17">
            <v>7.6426272072485313</v>
          </cell>
        </row>
      </sheetData>
      <sheetData sheetId="3"/>
      <sheetData sheetId="4">
        <row r="4">
          <cell r="D4">
            <v>0.54111599999999394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7"/>
  <sheetViews>
    <sheetView showGridLines="0" tabSelected="1" zoomScale="75" zoomScaleNormal="75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P31" sqref="P31"/>
    </sheetView>
  </sheetViews>
  <sheetFormatPr defaultColWidth="0" defaultRowHeight="13.8" zeroHeight="1"/>
  <cols>
    <col min="1" max="3" width="2.6640625" customWidth="1"/>
    <col min="4" max="4" width="9.109375" customWidth="1"/>
    <col min="5" max="5" width="58.5546875" bestFit="1" customWidth="1"/>
    <col min="6" max="6" width="17.6640625" style="55" bestFit="1" customWidth="1"/>
    <col min="7" max="8" width="2.6640625" customWidth="1"/>
    <col min="9" max="11" width="10" bestFit="1" customWidth="1"/>
    <col min="12" max="12" width="11.5546875" bestFit="1" customWidth="1"/>
    <col min="13" max="13" width="10" bestFit="1" customWidth="1"/>
    <col min="14" max="14" width="10" customWidth="1"/>
    <col min="15" max="15" width="10" bestFit="1" customWidth="1"/>
    <col min="16" max="16" width="10.44140625" bestFit="1" customWidth="1"/>
    <col min="17" max="17" width="9.88671875" customWidth="1"/>
    <col min="18" max="18" width="10.44140625" bestFit="1" customWidth="1"/>
    <col min="19" max="21" width="10.88671875" bestFit="1" customWidth="1"/>
    <col min="22" max="22" width="2.88671875" customWidth="1"/>
    <col min="23" max="23" width="77.33203125" bestFit="1" customWidth="1"/>
    <col min="24" max="24" width="9.109375" customWidth="1"/>
    <col min="25" max="16384" width="9.109375" hidden="1"/>
  </cols>
  <sheetData>
    <row r="1" spans="1:24" ht="33">
      <c r="A1" s="29"/>
      <c r="B1" s="29"/>
      <c r="C1" s="29"/>
      <c r="D1" s="29" t="s">
        <v>28</v>
      </c>
      <c r="E1" s="29"/>
      <c r="F1" s="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44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9"/>
      <c r="B8" s="13"/>
      <c r="C8" s="13"/>
      <c r="D8" s="32"/>
      <c r="E8" s="10" t="s">
        <v>24</v>
      </c>
      <c r="F8" s="56"/>
      <c r="G8" s="11"/>
      <c r="H8" s="11"/>
      <c r="I8" s="11"/>
      <c r="J8" s="11"/>
      <c r="K8" s="11"/>
      <c r="L8" s="41"/>
      <c r="M8" s="41"/>
      <c r="N8" s="41"/>
      <c r="O8" s="41"/>
      <c r="P8" s="41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40"/>
      <c r="M9" s="40"/>
      <c r="N9" s="40"/>
      <c r="O9" s="40"/>
      <c r="P9" s="40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40"/>
      <c r="M10" s="40"/>
      <c r="N10" s="40"/>
      <c r="O10" s="40"/>
      <c r="P10" s="40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75</v>
      </c>
      <c r="F11" s="19"/>
      <c r="G11" s="18"/>
      <c r="H11" s="18"/>
      <c r="I11" s="18"/>
      <c r="J11" s="18"/>
      <c r="K11" s="22"/>
      <c r="L11" s="40"/>
      <c r="M11" s="40"/>
      <c r="N11" s="40"/>
      <c r="O11" s="40"/>
      <c r="P11" s="40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2" t="s">
        <v>49</v>
      </c>
      <c r="E12" s="47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69">
        <v>382210.11365547299</v>
      </c>
      <c r="M12" s="69">
        <v>373758.191524258</v>
      </c>
      <c r="N12" s="69">
        <v>365319.087533888</v>
      </c>
      <c r="O12" s="69">
        <v>356884.34314554598</v>
      </c>
      <c r="P12" s="69">
        <v>348456.074535925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2" t="s">
        <v>49</v>
      </c>
      <c r="E13" s="47" t="str">
        <f t="shared" si="2"/>
        <v>Unmetered wastewater-only customer</v>
      </c>
      <c r="F13" s="19"/>
      <c r="G13" s="18"/>
      <c r="H13" s="18"/>
      <c r="I13" s="18"/>
      <c r="J13" s="18"/>
      <c r="K13" s="22"/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2" t="s">
        <v>49</v>
      </c>
      <c r="E14" s="47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2" t="s">
        <v>49</v>
      </c>
      <c r="E15" s="47" t="str">
        <f t="shared" si="2"/>
        <v>Metered water-only customer</v>
      </c>
      <c r="F15" s="19"/>
      <c r="G15" s="18"/>
      <c r="H15" s="18"/>
      <c r="I15" s="18"/>
      <c r="J15" s="18"/>
      <c r="K15" s="22"/>
      <c r="L15" s="38">
        <v>272142.75809452601</v>
      </c>
      <c r="M15" s="38">
        <v>284307.28168407502</v>
      </c>
      <c r="N15" s="38">
        <v>296632.67057027796</v>
      </c>
      <c r="O15" s="38">
        <v>309108.01907320396</v>
      </c>
      <c r="P15" s="38">
        <v>321673.761406784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2" t="s">
        <v>49</v>
      </c>
      <c r="E16" s="47" t="str">
        <f t="shared" si="2"/>
        <v>Metered wastewater-only customer</v>
      </c>
      <c r="F16" s="19"/>
      <c r="G16" s="18"/>
      <c r="H16" s="18"/>
      <c r="I16" s="18"/>
      <c r="J16" s="18"/>
      <c r="K16" s="22"/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2" t="s">
        <v>49</v>
      </c>
      <c r="E17" s="47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40"/>
      <c r="M18" s="40"/>
      <c r="N18" s="40"/>
      <c r="O18" s="40"/>
      <c r="P18" s="40"/>
      <c r="Q18" s="25" t="s">
        <v>76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40</v>
      </c>
      <c r="F19" s="19"/>
      <c r="G19" s="18"/>
      <c r="H19" s="18"/>
      <c r="I19" s="18"/>
      <c r="J19" s="18"/>
      <c r="K19" s="22"/>
      <c r="L19" s="40"/>
      <c r="M19" s="40"/>
      <c r="N19" s="40"/>
      <c r="O19" s="40"/>
      <c r="P19" s="40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2" t="s">
        <v>49</v>
      </c>
      <c r="E20" s="47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69">
        <f>[1]Sheet2!$B$4+[1]Sheet2!$B$18</f>
        <v>382210.39049999998</v>
      </c>
      <c r="M20" s="69">
        <f>('[2]Average bills template'!$D$21+'[2]Average bills template'!$D$41)*1000</f>
        <v>380290</v>
      </c>
      <c r="N20" s="80">
        <f>('[3]Average bills template - SST'!$D$31+'[3]Average bills template - SST'!$D$59)*1000</f>
        <v>372504.66666666663</v>
      </c>
      <c r="O20" s="80">
        <f>('[4]Average bills template'!$D$31+'[4]Average bills template'!$D$59)*1000</f>
        <v>366770</v>
      </c>
      <c r="P20" s="80">
        <f>P28</f>
        <v>359613.11282850272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2" t="s">
        <v>49</v>
      </c>
      <c r="E21" s="47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9">
        <v>0</v>
      </c>
      <c r="M21" s="79">
        <v>0</v>
      </c>
      <c r="N21" s="81">
        <v>0</v>
      </c>
      <c r="O21" s="81">
        <v>0</v>
      </c>
      <c r="P21" s="81"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2" t="s">
        <v>49</v>
      </c>
      <c r="E22" s="47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9">
        <v>0</v>
      </c>
      <c r="M22" s="79">
        <v>0</v>
      </c>
      <c r="N22" s="81">
        <v>0</v>
      </c>
      <c r="O22" s="81">
        <v>0</v>
      </c>
      <c r="P22" s="81"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2" t="s">
        <v>49</v>
      </c>
      <c r="E23" s="47" t="str">
        <f t="shared" si="3"/>
        <v>Metered water-only customer</v>
      </c>
      <c r="F23" s="19"/>
      <c r="G23" s="18"/>
      <c r="H23" s="18"/>
      <c r="I23" s="18"/>
      <c r="J23" s="18"/>
      <c r="K23" s="22"/>
      <c r="L23" s="79">
        <f>[1]Sheet2!$B$8+[1]Sheet2!$B$22</f>
        <v>269096.75809452648</v>
      </c>
      <c r="M23" s="79">
        <f>('[2]Average bills template'!$D$22+'[2]Average bills template'!$D$42)*1000</f>
        <v>280282.00000000006</v>
      </c>
      <c r="N23" s="81">
        <f>('[3]Average bills template - SST'!$D$32+'[3]Average bills template - SST'!$D$60)*1000</f>
        <v>287988</v>
      </c>
      <c r="O23" s="81">
        <f>('[4]Average bills template'!$D$32+'[4]Average bills template'!$D$60)*1000</f>
        <v>299864.00000000006</v>
      </c>
      <c r="P23" s="81">
        <f>P31</f>
        <v>326607.56291659264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2" t="s">
        <v>49</v>
      </c>
      <c r="E24" s="47" t="str">
        <f t="shared" si="3"/>
        <v>Metered wastewater-only customer</v>
      </c>
      <c r="F24" s="19"/>
      <c r="G24" s="18"/>
      <c r="H24" s="18"/>
      <c r="I24" s="18"/>
      <c r="J24" s="18"/>
      <c r="K24" s="22"/>
      <c r="L24" s="38">
        <v>0</v>
      </c>
      <c r="M24" s="38">
        <v>0</v>
      </c>
      <c r="N24" s="81">
        <v>0</v>
      </c>
      <c r="O24" s="81">
        <v>0</v>
      </c>
      <c r="P24" s="81"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2" t="s">
        <v>49</v>
      </c>
      <c r="E25" s="47" t="str">
        <f t="shared" si="3"/>
        <v>Meterered water and wastewater customer</v>
      </c>
      <c r="F25" s="19"/>
      <c r="G25" s="18"/>
      <c r="H25" s="18"/>
      <c r="I25" s="18"/>
      <c r="J25" s="18"/>
      <c r="K25" s="22"/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40"/>
      <c r="M26" s="40"/>
      <c r="N26" s="40"/>
      <c r="O26" s="40"/>
      <c r="P26" s="40"/>
      <c r="Q26" s="25" t="s">
        <v>41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9"/>
      <c r="M27" s="39"/>
      <c r="N27" s="39"/>
      <c r="O27" s="39"/>
      <c r="P27" s="39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2" t="s">
        <v>49</v>
      </c>
      <c r="E28" s="47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80">
        <f>'[5]2F'!$G$5*1000</f>
        <v>385588.5</v>
      </c>
      <c r="M28" s="80">
        <f>'[6]2F'!$G$5*1000</f>
        <v>375452</v>
      </c>
      <c r="N28" s="80">
        <f>'[7]2F'!$H$5*1000</f>
        <v>380905.06575328443</v>
      </c>
      <c r="O28" s="80">
        <f>'[8]WS3 Combined'!$N$25*1000</f>
        <v>366018.15811999462</v>
      </c>
      <c r="P28" s="80">
        <f>'[8]WS3 Combined'!$O$25*1000</f>
        <v>359613.11282850272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2" t="s">
        <v>49</v>
      </c>
      <c r="E29" s="47" t="str">
        <f t="shared" si="4"/>
        <v>Unmetered wastewater-only customer</v>
      </c>
      <c r="F29" s="19"/>
      <c r="G29" s="18"/>
      <c r="H29" s="18"/>
      <c r="I29" s="18"/>
      <c r="J29" s="18"/>
      <c r="K29" s="18"/>
      <c r="L29" s="80">
        <v>0</v>
      </c>
      <c r="M29" s="81">
        <v>0</v>
      </c>
      <c r="N29" s="81">
        <v>0</v>
      </c>
      <c r="O29" s="81">
        <v>0</v>
      </c>
      <c r="P29" s="81"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2" t="s">
        <v>49</v>
      </c>
      <c r="E30" s="47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80">
        <v>0</v>
      </c>
      <c r="M30" s="81">
        <v>0</v>
      </c>
      <c r="N30" s="81">
        <v>0</v>
      </c>
      <c r="O30" s="81">
        <v>0</v>
      </c>
      <c r="P30" s="81"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2" t="s">
        <v>49</v>
      </c>
      <c r="E31" s="47" t="str">
        <f t="shared" si="4"/>
        <v>Metered water-only customer</v>
      </c>
      <c r="F31" s="19"/>
      <c r="G31" s="18"/>
      <c r="H31" s="18"/>
      <c r="I31" s="18"/>
      <c r="K31" s="18"/>
      <c r="L31" s="80">
        <f>'[5]2F'!$G$8*1000</f>
        <v>273770.5</v>
      </c>
      <c r="M31" s="81">
        <f>'[6]2F'!$G$8*1000</f>
        <v>284653</v>
      </c>
      <c r="N31" s="81">
        <f>'[7]2F'!$H$8*1000</f>
        <v>289755.64931489713</v>
      </c>
      <c r="O31" s="81">
        <f>'[8]WS3 Combined'!$N$24*1000</f>
        <v>311503.39732863603</v>
      </c>
      <c r="P31" s="81">
        <f>'[8]WS3 Combined'!$O$24*1000</f>
        <v>326607.56291659264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2" t="s">
        <v>49</v>
      </c>
      <c r="E32" s="47" t="str">
        <f t="shared" si="4"/>
        <v>Metered wastewater-only customer</v>
      </c>
      <c r="F32" s="19"/>
      <c r="G32" s="18"/>
      <c r="H32" s="18"/>
      <c r="I32" s="18"/>
      <c r="J32" s="18"/>
      <c r="K32" s="18"/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2" t="s">
        <v>49</v>
      </c>
      <c r="E33" s="47" t="str">
        <f t="shared" si="4"/>
        <v>Meterered water and wastewater customer</v>
      </c>
      <c r="F33" s="19"/>
      <c r="G33" s="18"/>
      <c r="H33" s="18"/>
      <c r="I33" s="18"/>
      <c r="J33" s="18"/>
      <c r="K33" s="18"/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L34" s="39"/>
      <c r="M34" s="39"/>
      <c r="N34" s="39"/>
      <c r="O34" s="39"/>
      <c r="P34" s="39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78"/>
      <c r="D35" s="18"/>
      <c r="E35" s="36" t="s">
        <v>39</v>
      </c>
      <c r="F35" s="19"/>
      <c r="G35" s="18"/>
      <c r="H35" s="18"/>
      <c r="I35" s="18"/>
      <c r="J35" s="18"/>
      <c r="K35" s="18"/>
      <c r="L35" s="39"/>
      <c r="M35" s="39"/>
      <c r="N35" s="39"/>
      <c r="O35" s="39"/>
      <c r="P35" s="39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78"/>
      <c r="D36" s="52" t="s">
        <v>50</v>
      </c>
      <c r="E36" s="47" t="str">
        <f t="shared" ref="E36:E41" si="5">INDEX(Customer.List,A36)</f>
        <v>Unmetered water-only customer</v>
      </c>
      <c r="F36" s="57" t="s">
        <v>45</v>
      </c>
      <c r="G36" s="18"/>
      <c r="H36" s="18"/>
      <c r="I36" s="18"/>
      <c r="J36" s="18"/>
      <c r="K36" s="18"/>
      <c r="L36" s="82">
        <f>'[5]2F'!$E$5</f>
        <v>8.8705380888626841</v>
      </c>
      <c r="M36" s="82">
        <f>'[6]2F'!$E$5</f>
        <v>8.572653656404464</v>
      </c>
      <c r="N36" s="83">
        <f>'[7]2F'!$F$5</f>
        <v>8.4778160837196328</v>
      </c>
      <c r="O36" s="83">
        <f>[9]Sheet3!$E$16</f>
        <v>9.3495772895333804</v>
      </c>
      <c r="P36" s="83">
        <f>[9]Sheet3!$F$16</f>
        <v>9.6135371436074379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78"/>
      <c r="D37" s="52" t="s">
        <v>50</v>
      </c>
      <c r="E37" s="47" t="str">
        <f t="shared" si="5"/>
        <v>Unmetered wastewater-only customer</v>
      </c>
      <c r="F37" s="57" t="s">
        <v>45</v>
      </c>
      <c r="G37" s="18"/>
      <c r="H37" s="18"/>
      <c r="I37" s="18"/>
      <c r="J37" s="18"/>
      <c r="K37" s="18"/>
      <c r="L37" s="69">
        <v>0</v>
      </c>
      <c r="M37" s="82">
        <v>0</v>
      </c>
      <c r="N37" s="81">
        <v>0</v>
      </c>
      <c r="O37" s="81">
        <v>0</v>
      </c>
      <c r="P37" s="81"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78"/>
      <c r="D38" s="52" t="s">
        <v>50</v>
      </c>
      <c r="E38" s="47" t="str">
        <f t="shared" si="5"/>
        <v>Unmetered water and wastewater customer</v>
      </c>
      <c r="F38" s="57" t="s">
        <v>45</v>
      </c>
      <c r="G38" s="18"/>
      <c r="H38" s="18"/>
      <c r="I38" s="18"/>
      <c r="J38" s="18"/>
      <c r="K38" s="18"/>
      <c r="L38" s="69">
        <v>0</v>
      </c>
      <c r="M38" s="82">
        <v>0</v>
      </c>
      <c r="N38" s="81">
        <v>0</v>
      </c>
      <c r="O38" s="81">
        <v>0</v>
      </c>
      <c r="P38" s="81"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78"/>
      <c r="D39" s="52" t="s">
        <v>50</v>
      </c>
      <c r="E39" s="47" t="str">
        <f t="shared" si="5"/>
        <v>Metered water-only customer</v>
      </c>
      <c r="F39" s="57" t="s">
        <v>45</v>
      </c>
      <c r="G39" s="18"/>
      <c r="H39" s="18"/>
      <c r="I39" s="18"/>
      <c r="K39" s="18"/>
      <c r="L39" s="82">
        <f>'[5]2F'!$E$8</f>
        <v>6.063264891883084</v>
      </c>
      <c r="M39" s="82">
        <f>'[6]2F'!$E$8</f>
        <v>6.1059857651650242</v>
      </c>
      <c r="N39" s="84">
        <f>'[7]2F'!$F$8</f>
        <v>6.739744892187689</v>
      </c>
      <c r="O39" s="84">
        <f>[9]Sheet3!$E$17</f>
        <v>7.4327828250786245</v>
      </c>
      <c r="P39" s="84">
        <f>[9]Sheet3!$F$17</f>
        <v>7.6426272072485313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78"/>
      <c r="D40" s="52" t="s">
        <v>50</v>
      </c>
      <c r="E40" s="47" t="str">
        <f t="shared" si="5"/>
        <v>Metered wastewater-only customer</v>
      </c>
      <c r="F40" s="57" t="s">
        <v>45</v>
      </c>
      <c r="G40" s="18"/>
      <c r="H40" s="18"/>
      <c r="I40" s="18"/>
      <c r="J40" s="18"/>
      <c r="K40" s="18"/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78"/>
      <c r="D41" s="52" t="s">
        <v>50</v>
      </c>
      <c r="E41" s="47" t="str">
        <f t="shared" si="5"/>
        <v>Meterered water and wastewater customer</v>
      </c>
      <c r="F41" s="57" t="s">
        <v>45</v>
      </c>
      <c r="G41" s="18"/>
      <c r="H41" s="18"/>
      <c r="I41" s="18"/>
      <c r="J41" s="18"/>
      <c r="K41" s="1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78"/>
      <c r="D42" s="18"/>
      <c r="F42" s="19"/>
      <c r="G42" s="18"/>
      <c r="H42" s="18"/>
      <c r="I42" s="18"/>
      <c r="J42" s="18"/>
      <c r="K42" s="18"/>
      <c r="L42" s="40"/>
      <c r="M42" s="40"/>
      <c r="N42" s="40"/>
      <c r="O42" s="40"/>
      <c r="P42" s="40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78"/>
      <c r="D43" s="18"/>
      <c r="E43" s="36" t="s">
        <v>81</v>
      </c>
      <c r="F43" s="19"/>
      <c r="G43" s="18"/>
      <c r="H43" s="18"/>
      <c r="I43" s="18"/>
      <c r="J43" s="18"/>
      <c r="K43" s="18"/>
      <c r="L43" s="39"/>
      <c r="M43" s="39"/>
      <c r="N43" s="39"/>
      <c r="O43" s="39"/>
      <c r="P43" s="39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78"/>
      <c r="D44" s="52" t="s">
        <v>50</v>
      </c>
      <c r="E44" s="47" t="str">
        <f t="shared" ref="E44:E49" si="6">INDEX(Customer.List,A44)</f>
        <v>Unmetered water-only customer</v>
      </c>
      <c r="F44" s="57" t="s">
        <v>45</v>
      </c>
      <c r="G44" s="18"/>
      <c r="H44" s="18"/>
      <c r="I44" s="18"/>
      <c r="J44" s="18"/>
      <c r="K44" s="18"/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78"/>
      <c r="D45" s="52" t="s">
        <v>50</v>
      </c>
      <c r="E45" s="47" t="str">
        <f t="shared" si="6"/>
        <v>Unmetered wastewater-only customer</v>
      </c>
      <c r="F45" s="57" t="s">
        <v>45</v>
      </c>
      <c r="G45" s="18"/>
      <c r="H45" s="18"/>
      <c r="I45" s="18"/>
      <c r="J45" s="18"/>
      <c r="K45" s="18"/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78"/>
      <c r="D46" s="52" t="s">
        <v>50</v>
      </c>
      <c r="E46" s="47" t="str">
        <f t="shared" si="6"/>
        <v>Unmetered water and wastewater customer</v>
      </c>
      <c r="F46" s="57" t="s">
        <v>45</v>
      </c>
      <c r="G46" s="18"/>
      <c r="H46" s="18"/>
      <c r="I46" s="18"/>
      <c r="J46" s="18"/>
      <c r="K46" s="18"/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78"/>
      <c r="D47" s="52" t="s">
        <v>50</v>
      </c>
      <c r="E47" s="47" t="str">
        <f t="shared" si="6"/>
        <v>Metered water-only customer</v>
      </c>
      <c r="F47" s="57" t="s">
        <v>45</v>
      </c>
      <c r="G47" s="18"/>
      <c r="H47" s="18"/>
      <c r="I47" s="18"/>
      <c r="K47" s="18"/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78"/>
      <c r="D48" s="52" t="s">
        <v>50</v>
      </c>
      <c r="E48" s="47" t="str">
        <f t="shared" si="6"/>
        <v>Metered wastewater-only customer</v>
      </c>
      <c r="F48" s="57" t="s">
        <v>45</v>
      </c>
      <c r="G48" s="18"/>
      <c r="H48" s="18"/>
      <c r="I48" s="18"/>
      <c r="J48" s="18"/>
      <c r="K48" s="18"/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78"/>
      <c r="D49" s="52" t="s">
        <v>50</v>
      </c>
      <c r="E49" s="47" t="str">
        <f t="shared" si="6"/>
        <v>Meterered water and wastewater customer</v>
      </c>
      <c r="F49" s="57" t="s">
        <v>45</v>
      </c>
      <c r="G49" s="18"/>
      <c r="H49" s="18"/>
      <c r="I49" s="18"/>
      <c r="J49" s="18"/>
      <c r="K49" s="18"/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82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84</v>
      </c>
      <c r="F51" s="19"/>
      <c r="G51" s="18"/>
      <c r="H51" s="18"/>
      <c r="I51" s="18"/>
      <c r="J51" s="18"/>
      <c r="K51" s="18"/>
      <c r="L51" s="39"/>
      <c r="M51" s="39"/>
      <c r="N51" s="39"/>
      <c r="O51" s="39"/>
      <c r="P51" s="39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2" t="s">
        <v>50</v>
      </c>
      <c r="E52" s="47" t="str">
        <f t="shared" ref="E52:E57" si="7">INDEX(Customer.List,A52)</f>
        <v>Unmetered water-only customer</v>
      </c>
      <c r="F52" s="57" t="s">
        <v>45</v>
      </c>
      <c r="G52" s="18"/>
      <c r="H52" s="18"/>
      <c r="I52" s="18"/>
      <c r="J52" s="18"/>
      <c r="K52" s="18"/>
      <c r="L52" s="97">
        <f>L36+L44</f>
        <v>8.8705380888626841</v>
      </c>
      <c r="M52" s="97">
        <f t="shared" ref="M52:P52" si="8">M36+M44</f>
        <v>8.572653656404464</v>
      </c>
      <c r="N52" s="97">
        <f t="shared" si="8"/>
        <v>8.4778160837196328</v>
      </c>
      <c r="O52" s="97">
        <f t="shared" si="8"/>
        <v>9.3495772895333804</v>
      </c>
      <c r="P52" s="97">
        <f t="shared" si="8"/>
        <v>9.6135371436074379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2" t="s">
        <v>50</v>
      </c>
      <c r="E53" s="47" t="str">
        <f t="shared" si="7"/>
        <v>Unmetered wastewater-only customer</v>
      </c>
      <c r="F53" s="57" t="s">
        <v>45</v>
      </c>
      <c r="G53" s="18"/>
      <c r="H53" s="18"/>
      <c r="I53" s="18"/>
      <c r="J53" s="18"/>
      <c r="K53" s="18"/>
      <c r="L53" s="97">
        <f t="shared" ref="L53:P57" si="9">L37+L45</f>
        <v>0</v>
      </c>
      <c r="M53" s="97">
        <f t="shared" si="9"/>
        <v>0</v>
      </c>
      <c r="N53" s="97">
        <f t="shared" si="9"/>
        <v>0</v>
      </c>
      <c r="O53" s="97">
        <f t="shared" si="9"/>
        <v>0</v>
      </c>
      <c r="P53" s="97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2" t="s">
        <v>50</v>
      </c>
      <c r="E54" s="47" t="str">
        <f t="shared" si="7"/>
        <v>Unmetered water and wastewater customer</v>
      </c>
      <c r="F54" s="57" t="s">
        <v>45</v>
      </c>
      <c r="G54" s="18"/>
      <c r="H54" s="18"/>
      <c r="I54" s="18"/>
      <c r="J54" s="18"/>
      <c r="K54" s="18"/>
      <c r="L54" s="97">
        <f t="shared" si="9"/>
        <v>0</v>
      </c>
      <c r="M54" s="97">
        <f t="shared" si="9"/>
        <v>0</v>
      </c>
      <c r="N54" s="97">
        <f t="shared" si="9"/>
        <v>0</v>
      </c>
      <c r="O54" s="97">
        <f t="shared" si="9"/>
        <v>0</v>
      </c>
      <c r="P54" s="97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2" t="s">
        <v>50</v>
      </c>
      <c r="E55" s="47" t="str">
        <f t="shared" si="7"/>
        <v>Metered water-only customer</v>
      </c>
      <c r="F55" s="57" t="s">
        <v>45</v>
      </c>
      <c r="G55" s="18"/>
      <c r="H55" s="18"/>
      <c r="I55" s="18"/>
      <c r="K55" s="18"/>
      <c r="L55" s="97">
        <f t="shared" si="9"/>
        <v>6.063264891883084</v>
      </c>
      <c r="M55" s="97">
        <f t="shared" si="9"/>
        <v>6.1059857651650242</v>
      </c>
      <c r="N55" s="97">
        <f t="shared" si="9"/>
        <v>6.739744892187689</v>
      </c>
      <c r="O55" s="97">
        <f t="shared" si="9"/>
        <v>7.4327828250786245</v>
      </c>
      <c r="P55" s="97">
        <f t="shared" si="9"/>
        <v>7.6426272072485313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2" t="s">
        <v>50</v>
      </c>
      <c r="E56" s="47" t="str">
        <f t="shared" si="7"/>
        <v>Metered wastewater-only customer</v>
      </c>
      <c r="F56" s="57" t="s">
        <v>45</v>
      </c>
      <c r="G56" s="18"/>
      <c r="H56" s="18"/>
      <c r="I56" s="18"/>
      <c r="J56" s="18"/>
      <c r="K56" s="18"/>
      <c r="L56" s="97">
        <f t="shared" si="9"/>
        <v>0</v>
      </c>
      <c r="M56" s="97">
        <f t="shared" si="9"/>
        <v>0</v>
      </c>
      <c r="N56" s="97">
        <f t="shared" si="9"/>
        <v>0</v>
      </c>
      <c r="O56" s="97">
        <f t="shared" si="9"/>
        <v>0</v>
      </c>
      <c r="P56" s="97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2" t="s">
        <v>50</v>
      </c>
      <c r="E57" s="47" t="str">
        <f t="shared" si="7"/>
        <v>Meterered water and wastewater customer</v>
      </c>
      <c r="F57" s="57" t="s">
        <v>45</v>
      </c>
      <c r="G57" s="18"/>
      <c r="H57" s="18"/>
      <c r="I57" s="18"/>
      <c r="J57" s="18"/>
      <c r="K57" s="18"/>
      <c r="L57" s="97">
        <f t="shared" si="9"/>
        <v>0</v>
      </c>
      <c r="M57" s="97">
        <f t="shared" si="9"/>
        <v>0</v>
      </c>
      <c r="N57" s="97">
        <f t="shared" si="9"/>
        <v>0</v>
      </c>
      <c r="O57" s="97">
        <f t="shared" si="9"/>
        <v>0</v>
      </c>
      <c r="P57" s="97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40"/>
      <c r="M58" s="40"/>
      <c r="N58" s="40"/>
      <c r="O58" s="40"/>
      <c r="P58" s="40"/>
      <c r="Q58" s="25" t="s">
        <v>83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>
      <c r="A60" s="9"/>
      <c r="B60" s="13"/>
      <c r="C60" s="13"/>
      <c r="D60" s="32"/>
      <c r="E60" s="10" t="s">
        <v>29</v>
      </c>
      <c r="F60" s="5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73</v>
      </c>
      <c r="E63" s="47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0">
        <v>20.18</v>
      </c>
      <c r="M63" s="70">
        <v>20.39</v>
      </c>
      <c r="N63" s="70">
        <v>20.97</v>
      </c>
      <c r="O63" s="70">
        <v>22.03</v>
      </c>
      <c r="P63" s="70">
        <v>22.31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73</v>
      </c>
      <c r="E64" s="47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73</v>
      </c>
      <c r="E65" s="47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73</v>
      </c>
      <c r="E66" s="47" t="str">
        <f t="shared" si="10"/>
        <v>Metered water-only customer</v>
      </c>
      <c r="F66" s="60"/>
      <c r="G66" s="18"/>
      <c r="H66" s="18"/>
      <c r="I66" s="18"/>
      <c r="J66" s="18"/>
      <c r="K66" s="22"/>
      <c r="L66" s="44">
        <v>26.14</v>
      </c>
      <c r="M66" s="44">
        <v>26.35</v>
      </c>
      <c r="N66" s="44">
        <v>26.94</v>
      </c>
      <c r="O66" s="44">
        <v>27.99</v>
      </c>
      <c r="P66" s="44">
        <v>28.27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73</v>
      </c>
      <c r="E67" s="47" t="str">
        <f t="shared" si="10"/>
        <v>Metered wastewater-only customer</v>
      </c>
      <c r="F67" s="19"/>
      <c r="G67" s="18"/>
      <c r="H67" s="18"/>
      <c r="I67" s="18"/>
      <c r="J67" s="18"/>
      <c r="K67" s="22"/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73</v>
      </c>
      <c r="E68" s="47" t="str">
        <f t="shared" si="10"/>
        <v>Meterered water and wastewater customer</v>
      </c>
      <c r="F68" s="19"/>
      <c r="G68" s="18"/>
      <c r="H68" s="18"/>
      <c r="I68" s="18"/>
      <c r="J68" s="18"/>
      <c r="K68" s="22"/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>
      <c r="A70" s="9"/>
      <c r="B70" s="13"/>
      <c r="C70" s="13"/>
      <c r="D70" s="32"/>
      <c r="E70" s="10" t="s">
        <v>69</v>
      </c>
      <c r="F70" s="5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2" t="s">
        <v>55</v>
      </c>
      <c r="E72" t="s">
        <v>56</v>
      </c>
      <c r="F72" s="19"/>
      <c r="G72" s="18"/>
      <c r="H72" s="18"/>
      <c r="I72" s="67">
        <v>0.02</v>
      </c>
      <c r="J72" s="25" t="s">
        <v>57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2" t="s">
        <v>55</v>
      </c>
      <c r="E73" t="s">
        <v>71</v>
      </c>
      <c r="F73" s="19"/>
      <c r="G73" s="18"/>
      <c r="H73" s="18"/>
      <c r="I73" s="67">
        <v>3.5999999999999997E-2</v>
      </c>
      <c r="J73" s="25" t="s">
        <v>70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4.4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4.4" thickBot="1">
      <c r="A75" s="20" t="s">
        <v>19</v>
      </c>
      <c r="B75" s="21"/>
      <c r="C75" s="21"/>
      <c r="D75" s="21"/>
      <c r="E75" s="21"/>
      <c r="F75" s="59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" right="0.7" top="0.75" bottom="0.75" header="0.3" footer="0.3"/>
  <pageSetup paperSize="9" scale="54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2"/>
  <sheetViews>
    <sheetView showGridLines="0" zoomScale="75" zoomScaleNormal="75" workbookViewId="0">
      <pane xSplit="8" ySplit="7" topLeftCell="I77" activePane="bottomRight" state="frozen"/>
      <selection pane="topRight" activeCell="I1" sqref="I1"/>
      <selection pane="bottomLeft" activeCell="A8" sqref="A8"/>
      <selection pane="bottomRight" activeCell="O64" sqref="O64"/>
    </sheetView>
  </sheetViews>
  <sheetFormatPr defaultColWidth="0" defaultRowHeight="13.8" zeroHeight="1"/>
  <cols>
    <col min="1" max="3" width="2.6640625" customWidth="1"/>
    <col min="4" max="4" width="7.5546875" customWidth="1"/>
    <col min="5" max="5" width="44.88671875" customWidth="1"/>
    <col min="6" max="6" width="17.6640625" style="55" bestFit="1" customWidth="1"/>
    <col min="7" max="8" width="2.6640625" customWidth="1"/>
    <col min="9" max="9" width="10" bestFit="1" customWidth="1"/>
    <col min="10" max="10" width="10" customWidth="1"/>
    <col min="11" max="11" width="10" bestFit="1" customWidth="1"/>
    <col min="12" max="16" width="10.5546875" customWidth="1"/>
    <col min="17" max="18" width="10.44140625" bestFit="1" customWidth="1"/>
    <col min="19" max="21" width="10.88671875" bestFit="1" customWidth="1"/>
    <col min="22" max="22" width="4.6640625" customWidth="1"/>
    <col min="23" max="23" width="10.88671875" bestFit="1" customWidth="1"/>
    <col min="24" max="24" width="4.6640625" customWidth="1"/>
    <col min="25" max="16384" width="9.109375" hidden="1"/>
  </cols>
  <sheetData>
    <row r="1" spans="1:24" s="2" customFormat="1" ht="33">
      <c r="A1" s="29"/>
      <c r="B1" s="29"/>
      <c r="C1" s="29"/>
      <c r="D1" s="29" t="s">
        <v>27</v>
      </c>
      <c r="E1" s="29"/>
      <c r="F1" s="5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5"/>
      <c r="X1" s="29"/>
    </row>
    <row r="2" spans="1:24" s="2" customFormat="1" ht="14.4">
      <c r="F2" s="19"/>
      <c r="G2" s="18"/>
      <c r="O2" s="18"/>
      <c r="P2" s="18"/>
      <c r="W2"/>
    </row>
    <row r="3" spans="1:24" s="18" customFormat="1" ht="13.2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62</v>
      </c>
      <c r="X3" s="25"/>
    </row>
    <row r="4" spans="1:24" s="18" customFormat="1" ht="13.2">
      <c r="A4" s="8">
        <v>1</v>
      </c>
      <c r="F4" s="19"/>
      <c r="V4" s="25"/>
      <c r="X4" s="25"/>
    </row>
    <row r="5" spans="1:24" s="18" customFormat="1" ht="13.2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 ht="13.2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2" t="s">
        <v>63</v>
      </c>
    </row>
    <row r="7" spans="1:24"/>
    <row r="8" spans="1:24" s="12" customFormat="1">
      <c r="A8" s="9"/>
      <c r="B8" s="13"/>
      <c r="C8" s="13"/>
      <c r="D8" s="32"/>
      <c r="E8" s="10" t="s">
        <v>43</v>
      </c>
      <c r="F8" s="56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3.2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51"/>
      <c r="E10" s="14" t="s">
        <v>77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2" t="s">
        <v>49</v>
      </c>
      <c r="E11" s="47" t="str">
        <f t="shared" ref="E11:E16" si="2">INDEX(Customer.List,A11)</f>
        <v>Unmetered water-only customer</v>
      </c>
      <c r="F11" s="19"/>
      <c r="L11" s="45">
        <f t="shared" ref="L11:P16" si="3">INDEX(Actual.Customer.Numbers,$A11,L$6)-INDEX(Forecast.Customer.Numbers,$A11,L$6)</f>
        <v>3378.3863445270108</v>
      </c>
      <c r="M11" s="45">
        <f t="shared" si="3"/>
        <v>1693.8084757420002</v>
      </c>
      <c r="N11" s="45">
        <f t="shared" si="3"/>
        <v>15585.978219396435</v>
      </c>
      <c r="O11" s="45">
        <f t="shared" si="3"/>
        <v>9133.8149744486436</v>
      </c>
      <c r="P11" s="45">
        <f t="shared" si="3"/>
        <v>11157.038292577723</v>
      </c>
    </row>
    <row r="12" spans="1:24" s="18" customFormat="1">
      <c r="A12" s="8">
        <v>2</v>
      </c>
      <c r="B12"/>
      <c r="C12"/>
      <c r="D12" s="52" t="s">
        <v>49</v>
      </c>
      <c r="E12" s="47" t="str">
        <f t="shared" si="2"/>
        <v>Unmetered wastewater-only customer</v>
      </c>
      <c r="F12" s="19"/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</row>
    <row r="13" spans="1:24" s="18" customFormat="1">
      <c r="A13" s="8">
        <v>3</v>
      </c>
      <c r="B13"/>
      <c r="C13"/>
      <c r="D13" s="52" t="s">
        <v>49</v>
      </c>
      <c r="E13" s="47" t="str">
        <f t="shared" si="2"/>
        <v>Unmetered water and wastewater customer</v>
      </c>
      <c r="F13" s="19"/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</row>
    <row r="14" spans="1:24" s="18" customFormat="1">
      <c r="A14" s="8">
        <v>4</v>
      </c>
      <c r="B14"/>
      <c r="C14"/>
      <c r="D14" s="52" t="s">
        <v>49</v>
      </c>
      <c r="E14" s="47" t="str">
        <f t="shared" si="2"/>
        <v>Metered water-only customer</v>
      </c>
      <c r="F14" s="19"/>
      <c r="L14" s="45">
        <f t="shared" si="3"/>
        <v>1627.7419054739876</v>
      </c>
      <c r="M14" s="45">
        <f t="shared" si="3"/>
        <v>345.71831592498347</v>
      </c>
      <c r="N14" s="45">
        <f t="shared" si="3"/>
        <v>-6877.0212553808233</v>
      </c>
      <c r="O14" s="45">
        <f t="shared" si="3"/>
        <v>2395.3782554320642</v>
      </c>
      <c r="P14" s="45">
        <f t="shared" si="3"/>
        <v>4933.8015098086325</v>
      </c>
    </row>
    <row r="15" spans="1:24" s="18" customFormat="1">
      <c r="A15" s="8">
        <v>5</v>
      </c>
      <c r="B15"/>
      <c r="C15"/>
      <c r="D15" s="52" t="s">
        <v>49</v>
      </c>
      <c r="E15" s="47" t="str">
        <f t="shared" si="2"/>
        <v>Metered wastewater-only customer</v>
      </c>
      <c r="F15" s="19"/>
      <c r="L15" s="45">
        <f t="shared" si="3"/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</row>
    <row r="16" spans="1:24" s="18" customFormat="1">
      <c r="A16" s="8">
        <v>6</v>
      </c>
      <c r="B16"/>
      <c r="C16"/>
      <c r="D16" s="52" t="s">
        <v>49</v>
      </c>
      <c r="E16" s="47" t="str">
        <f t="shared" si="2"/>
        <v>Meterered water and wastewater customer</v>
      </c>
      <c r="F16" s="19"/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45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8">
        <f>SUM(L11:L16)</f>
        <v>5006.1282500009984</v>
      </c>
      <c r="M17" s="48">
        <f t="shared" ref="M17:P17" si="4">SUM(M11:M16)</f>
        <v>2039.5267916669836</v>
      </c>
      <c r="N17" s="48">
        <f t="shared" si="4"/>
        <v>8708.9569640156114</v>
      </c>
      <c r="O17" s="48">
        <f t="shared" si="4"/>
        <v>11529.193229880708</v>
      </c>
      <c r="P17" s="48">
        <f t="shared" si="4"/>
        <v>16090.839802386356</v>
      </c>
      <c r="Q17" s="22"/>
      <c r="R17" s="22"/>
      <c r="S17" s="22"/>
      <c r="T17" s="22"/>
      <c r="U17" s="22"/>
      <c r="W17" s="22"/>
    </row>
    <row r="18" spans="1:24" s="18" customFormat="1">
      <c r="B18"/>
      <c r="C18"/>
      <c r="D18" s="31"/>
      <c r="E18" s="14"/>
      <c r="F18" s="19"/>
      <c r="L18" s="40"/>
      <c r="M18" s="40"/>
      <c r="N18" s="40"/>
      <c r="O18" s="40"/>
      <c r="P18" s="40"/>
      <c r="Q18" s="22"/>
      <c r="R18" s="22"/>
      <c r="S18" s="22"/>
      <c r="T18" s="22"/>
      <c r="U18" s="22"/>
      <c r="W18" s="22"/>
    </row>
    <row r="19" spans="1:24" s="3" customFormat="1">
      <c r="B19"/>
      <c r="C19"/>
      <c r="D19" s="51"/>
      <c r="E19" s="6" t="s">
        <v>78</v>
      </c>
      <c r="F19" s="19"/>
      <c r="L19" s="22"/>
      <c r="M19" s="22"/>
      <c r="N19" s="22"/>
      <c r="O19" s="22"/>
      <c r="P19" s="22"/>
      <c r="Q19" s="22"/>
      <c r="R19" s="22"/>
      <c r="S19" s="22"/>
      <c r="T19" s="22"/>
      <c r="U19" s="22"/>
      <c r="W19" s="22"/>
      <c r="X19" s="18"/>
    </row>
    <row r="20" spans="1:24" s="18" customFormat="1">
      <c r="A20" s="8">
        <v>1</v>
      </c>
      <c r="B20"/>
      <c r="C20"/>
      <c r="D20" s="52" t="s">
        <v>49</v>
      </c>
      <c r="E20" s="47" t="str">
        <f t="shared" ref="E20:E25" si="5">INDEX(Customer.List,A20)</f>
        <v>Unmetered water-only customer</v>
      </c>
      <c r="F20" s="19"/>
      <c r="L20" s="45">
        <f t="shared" ref="L20:P25" si="6">INDEX(Reforecast.Customer.Numbers,$A20,L$6)-INDEX(Forecast.Customer.Numbers,$A20,L$6)</f>
        <v>0.27684452699031681</v>
      </c>
      <c r="M20" s="45">
        <f t="shared" si="6"/>
        <v>6531.8084757420002</v>
      </c>
      <c r="N20" s="45">
        <f t="shared" si="6"/>
        <v>7185.5791327786283</v>
      </c>
      <c r="O20" s="45">
        <f t="shared" si="6"/>
        <v>9885.6568544540205</v>
      </c>
      <c r="P20" s="45">
        <f t="shared" si="6"/>
        <v>11157.038292577723</v>
      </c>
    </row>
    <row r="21" spans="1:24" s="18" customFormat="1">
      <c r="A21" s="8">
        <v>2</v>
      </c>
      <c r="B21"/>
      <c r="C21"/>
      <c r="D21" s="52" t="s">
        <v>49</v>
      </c>
      <c r="E21" s="47" t="str">
        <f t="shared" si="5"/>
        <v>Unmetered wastewater-only customer</v>
      </c>
      <c r="F21" s="19"/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</row>
    <row r="22" spans="1:24" s="18" customFormat="1">
      <c r="A22" s="8">
        <v>3</v>
      </c>
      <c r="B22"/>
      <c r="C22"/>
      <c r="D22" s="52" t="s">
        <v>49</v>
      </c>
      <c r="E22" s="47" t="str">
        <f t="shared" si="5"/>
        <v>Unmetered water and wastewater customer</v>
      </c>
      <c r="F22" s="19"/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</row>
    <row r="23" spans="1:24" s="18" customFormat="1">
      <c r="A23" s="8">
        <v>4</v>
      </c>
      <c r="B23"/>
      <c r="C23"/>
      <c r="D23" s="52" t="s">
        <v>49</v>
      </c>
      <c r="E23" s="47" t="str">
        <f t="shared" si="5"/>
        <v>Metered water-only customer</v>
      </c>
      <c r="F23" s="19"/>
      <c r="L23" s="45">
        <f t="shared" si="6"/>
        <v>-3045.9999999995343</v>
      </c>
      <c r="M23" s="45">
        <f t="shared" si="6"/>
        <v>-4025.2816840749583</v>
      </c>
      <c r="N23" s="45">
        <f t="shared" si="6"/>
        <v>-8644.6705702779582</v>
      </c>
      <c r="O23" s="45">
        <f t="shared" si="6"/>
        <v>-9244.0190732039046</v>
      </c>
      <c r="P23" s="45">
        <f t="shared" si="6"/>
        <v>4933.8015098086325</v>
      </c>
    </row>
    <row r="24" spans="1:24" s="18" customFormat="1">
      <c r="A24" s="8">
        <v>5</v>
      </c>
      <c r="B24"/>
      <c r="C24"/>
      <c r="D24" s="52" t="s">
        <v>49</v>
      </c>
      <c r="E24" s="47" t="str">
        <f t="shared" si="5"/>
        <v>Metered wastewater-only customer</v>
      </c>
      <c r="F24" s="19"/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</row>
    <row r="25" spans="1:24" s="18" customFormat="1">
      <c r="A25" s="8">
        <v>6</v>
      </c>
      <c r="B25"/>
      <c r="C25"/>
      <c r="D25" s="52" t="s">
        <v>49</v>
      </c>
      <c r="E25" s="47" t="str">
        <f t="shared" si="5"/>
        <v>Meterered water and wastewater customer</v>
      </c>
      <c r="F25" s="19"/>
      <c r="L25" s="45">
        <f t="shared" si="6"/>
        <v>0</v>
      </c>
      <c r="M25" s="45">
        <f t="shared" si="6"/>
        <v>0</v>
      </c>
      <c r="N25" s="45">
        <f t="shared" si="6"/>
        <v>0</v>
      </c>
      <c r="O25" s="45">
        <f t="shared" si="6"/>
        <v>0</v>
      </c>
      <c r="P25" s="45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8">
        <f>SUM(L20:L25)</f>
        <v>-3045.723155472544</v>
      </c>
      <c r="M26" s="48">
        <f t="shared" ref="M26:O26" si="7">SUM(M20:M25)</f>
        <v>2506.5267916670418</v>
      </c>
      <c r="N26" s="48">
        <f t="shared" si="7"/>
        <v>-1459.0914374993299</v>
      </c>
      <c r="O26" s="48">
        <f t="shared" si="7"/>
        <v>641.63778125011595</v>
      </c>
      <c r="P26" s="48">
        <f>SUM(P20:P25)</f>
        <v>16090.839802386356</v>
      </c>
      <c r="Q26" s="22"/>
      <c r="R26" s="22"/>
      <c r="S26" s="22"/>
      <c r="T26" s="22"/>
      <c r="U26" s="22"/>
      <c r="W26" s="22"/>
      <c r="X26" s="18"/>
    </row>
    <row r="27" spans="1:24" s="18" customFormat="1">
      <c r="B27"/>
      <c r="C27"/>
      <c r="D27" s="31"/>
      <c r="E27" s="14"/>
      <c r="F27" s="19"/>
      <c r="L27" s="40"/>
      <c r="M27" s="40"/>
      <c r="N27" s="40"/>
      <c r="O27" s="40"/>
      <c r="P27" s="40"/>
      <c r="Q27" s="22"/>
      <c r="R27" s="22"/>
      <c r="S27" s="22"/>
      <c r="T27" s="22"/>
      <c r="U27" s="22"/>
      <c r="W27" s="22"/>
    </row>
    <row r="28" spans="1:24" s="18" customFormat="1">
      <c r="A28"/>
      <c r="B28"/>
      <c r="C28"/>
      <c r="D28" s="51"/>
      <c r="E28" s="14" t="s">
        <v>74</v>
      </c>
      <c r="F28" s="19"/>
      <c r="L28" s="43"/>
      <c r="M28" s="43"/>
      <c r="N28" s="43"/>
      <c r="O28" s="43"/>
      <c r="P28" s="43"/>
      <c r="Q28" s="37"/>
      <c r="R28" s="37"/>
      <c r="S28" s="37"/>
      <c r="T28" s="37"/>
      <c r="U28" s="37"/>
      <c r="W28" s="37"/>
    </row>
    <row r="29" spans="1:24" s="18" customFormat="1">
      <c r="A29" s="8">
        <v>1</v>
      </c>
      <c r="B29"/>
      <c r="C29"/>
      <c r="D29" s="52" t="s">
        <v>50</v>
      </c>
      <c r="E29" s="47" t="str">
        <f t="shared" ref="E29:E34" si="8">INDEX(Customer.List,A29)</f>
        <v>Unmetered water-only customer</v>
      </c>
      <c r="F29" s="57" t="s">
        <v>45</v>
      </c>
      <c r="L29" s="85">
        <f t="shared" ref="L29:P34" si="9">(L11-L20)*INDEX(Modification.Factor,$A29,L$6)/1000000</f>
        <v>6.8170249710000408E-2</v>
      </c>
      <c r="M29" s="85">
        <f t="shared" si="9"/>
        <v>-9.864682000000001E-2</v>
      </c>
      <c r="N29" s="85">
        <f t="shared" si="9"/>
        <v>0.17615636884637537</v>
      </c>
      <c r="O29" s="85">
        <f t="shared" si="9"/>
        <v>-1.6563076616518454E-2</v>
      </c>
      <c r="P29" s="85">
        <f t="shared" si="9"/>
        <v>0</v>
      </c>
    </row>
    <row r="30" spans="1:24" s="18" customFormat="1">
      <c r="A30" s="8">
        <v>2</v>
      </c>
      <c r="B30"/>
      <c r="C30"/>
      <c r="D30" s="52" t="s">
        <v>50</v>
      </c>
      <c r="E30" s="47" t="str">
        <f t="shared" si="8"/>
        <v>Unmetered wastewater-only customer</v>
      </c>
      <c r="F30" s="57" t="s">
        <v>45</v>
      </c>
      <c r="L30" s="85">
        <f t="shared" si="9"/>
        <v>0</v>
      </c>
      <c r="M30" s="85">
        <f t="shared" si="9"/>
        <v>0</v>
      </c>
      <c r="N30" s="85">
        <f t="shared" si="9"/>
        <v>0</v>
      </c>
      <c r="O30" s="85">
        <f t="shared" si="9"/>
        <v>0</v>
      </c>
      <c r="P30" s="85">
        <f t="shared" si="9"/>
        <v>0</v>
      </c>
    </row>
    <row r="31" spans="1:24" s="18" customFormat="1">
      <c r="A31" s="8">
        <v>3</v>
      </c>
      <c r="D31" s="52" t="s">
        <v>50</v>
      </c>
      <c r="E31" s="47" t="str">
        <f t="shared" si="8"/>
        <v>Unmetered water and wastewater customer</v>
      </c>
      <c r="F31" s="57" t="s">
        <v>45</v>
      </c>
      <c r="L31" s="85">
        <f t="shared" si="9"/>
        <v>0</v>
      </c>
      <c r="M31" s="85">
        <f t="shared" si="9"/>
        <v>0</v>
      </c>
      <c r="N31" s="85">
        <f t="shared" si="9"/>
        <v>0</v>
      </c>
      <c r="O31" s="85">
        <f t="shared" si="9"/>
        <v>0</v>
      </c>
      <c r="P31" s="85">
        <f t="shared" si="9"/>
        <v>0</v>
      </c>
    </row>
    <row r="32" spans="1:24" s="18" customFormat="1">
      <c r="A32" s="8">
        <v>4</v>
      </c>
      <c r="D32" s="52" t="s">
        <v>50</v>
      </c>
      <c r="E32" s="47" t="str">
        <f t="shared" si="8"/>
        <v>Metered water-only customer</v>
      </c>
      <c r="F32" s="57" t="s">
        <v>45</v>
      </c>
      <c r="L32" s="85">
        <f t="shared" si="9"/>
        <v>0.12217161340907787</v>
      </c>
      <c r="M32" s="85">
        <f t="shared" si="9"/>
        <v>0.11517584999999848</v>
      </c>
      <c r="N32" s="85">
        <f t="shared" si="9"/>
        <v>4.7620472543328816E-2</v>
      </c>
      <c r="O32" s="85">
        <f t="shared" si="9"/>
        <v>0.32578673122852075</v>
      </c>
      <c r="P32" s="85">
        <f t="shared" si="9"/>
        <v>0</v>
      </c>
    </row>
    <row r="33" spans="1:24" s="18" customFormat="1">
      <c r="A33" s="8">
        <v>5</v>
      </c>
      <c r="D33" s="52" t="s">
        <v>50</v>
      </c>
      <c r="E33" s="47" t="str">
        <f t="shared" si="8"/>
        <v>Metered wastewater-only customer</v>
      </c>
      <c r="F33" s="57" t="s">
        <v>45</v>
      </c>
      <c r="L33" s="85">
        <f t="shared" si="9"/>
        <v>0</v>
      </c>
      <c r="M33" s="85">
        <f t="shared" si="9"/>
        <v>0</v>
      </c>
      <c r="N33" s="85">
        <f t="shared" si="9"/>
        <v>0</v>
      </c>
      <c r="O33" s="85">
        <f t="shared" si="9"/>
        <v>0</v>
      </c>
      <c r="P33" s="85">
        <f t="shared" si="9"/>
        <v>0</v>
      </c>
    </row>
    <row r="34" spans="1:24" s="18" customFormat="1">
      <c r="A34" s="8">
        <v>6</v>
      </c>
      <c r="D34" s="52" t="s">
        <v>50</v>
      </c>
      <c r="E34" s="47" t="str">
        <f t="shared" si="8"/>
        <v>Meterered water and wastewater customer</v>
      </c>
      <c r="F34" s="57" t="s">
        <v>45</v>
      </c>
      <c r="L34" s="85">
        <f t="shared" si="9"/>
        <v>0</v>
      </c>
      <c r="M34" s="85">
        <f t="shared" si="9"/>
        <v>0</v>
      </c>
      <c r="N34" s="85">
        <f t="shared" si="9"/>
        <v>0</v>
      </c>
      <c r="O34" s="85">
        <f t="shared" si="9"/>
        <v>0</v>
      </c>
      <c r="P34" s="85">
        <f t="shared" si="9"/>
        <v>0</v>
      </c>
    </row>
    <row r="35" spans="1:24" s="18" customFormat="1" ht="13.2">
      <c r="D35" s="52" t="s">
        <v>50</v>
      </c>
      <c r="E35" s="14" t="s">
        <v>22</v>
      </c>
      <c r="F35" s="19"/>
      <c r="L35" s="86">
        <f>SUM(L29:L34)</f>
        <v>0.19034186311907828</v>
      </c>
      <c r="M35" s="86">
        <f t="shared" ref="M35:P35" si="10">SUM(M29:M34)</f>
        <v>1.6529029999998474E-2</v>
      </c>
      <c r="N35" s="86">
        <f t="shared" si="10"/>
        <v>0.22377684138970419</v>
      </c>
      <c r="O35" s="86">
        <f t="shared" si="10"/>
        <v>0.3092236546120023</v>
      </c>
      <c r="P35" s="86">
        <f t="shared" si="10"/>
        <v>0</v>
      </c>
      <c r="Q35" s="22"/>
      <c r="R35" s="22"/>
      <c r="S35" s="22"/>
      <c r="T35" s="22"/>
      <c r="U35" s="22"/>
      <c r="W35" s="42">
        <f>SUM(L35:P35)</f>
        <v>0.73987138912078321</v>
      </c>
    </row>
    <row r="36" spans="1:24" s="3" customFormat="1" ht="13.2">
      <c r="B36" s="18"/>
      <c r="D36" s="33"/>
      <c r="E36" s="15"/>
      <c r="F36" s="19"/>
      <c r="J36" s="18"/>
      <c r="L36" s="87"/>
      <c r="M36" s="87"/>
      <c r="N36" s="87"/>
      <c r="O36" s="87"/>
      <c r="P36" s="87"/>
      <c r="Q36" s="22"/>
      <c r="R36" s="22"/>
      <c r="S36" s="22"/>
      <c r="T36" s="22"/>
      <c r="U36" s="22"/>
      <c r="W36" s="22"/>
      <c r="X36" s="18"/>
    </row>
    <row r="37" spans="1:24" s="18" customFormat="1" ht="13.2">
      <c r="D37" s="52" t="s">
        <v>50</v>
      </c>
      <c r="E37" s="14" t="s">
        <v>60</v>
      </c>
      <c r="F37" s="19"/>
      <c r="L37" s="87"/>
      <c r="M37" s="87"/>
      <c r="N37" s="87"/>
      <c r="O37" s="87"/>
      <c r="P37" s="88">
        <f>SUM(L35:P35)</f>
        <v>0.73987138912078321</v>
      </c>
      <c r="Q37" s="22"/>
      <c r="R37" s="22"/>
      <c r="S37" s="22"/>
      <c r="T37" s="22"/>
      <c r="U37" s="22"/>
      <c r="W37" s="22"/>
    </row>
    <row r="38" spans="1:24" s="18" customFormat="1" ht="13.2">
      <c r="D38" s="33"/>
      <c r="E38" s="15"/>
      <c r="F38" s="19"/>
      <c r="L38" s="87"/>
      <c r="M38" s="87"/>
      <c r="N38" s="87"/>
      <c r="O38" s="87"/>
      <c r="P38" s="87"/>
      <c r="Q38" s="22"/>
      <c r="R38" s="22"/>
      <c r="S38" s="22"/>
      <c r="T38" s="22"/>
      <c r="U38" s="22"/>
      <c r="W38" s="22"/>
    </row>
    <row r="39" spans="1:24" s="3" customFormat="1" ht="13.2">
      <c r="D39" s="51"/>
      <c r="E39" s="14" t="s">
        <v>47</v>
      </c>
      <c r="F39" s="19"/>
      <c r="J39" s="18"/>
      <c r="L39" s="89"/>
      <c r="M39" s="89"/>
      <c r="N39" s="89"/>
      <c r="O39" s="89"/>
      <c r="P39" s="89"/>
      <c r="Q39" s="22"/>
      <c r="R39" s="37"/>
      <c r="S39" s="37"/>
      <c r="T39" s="37"/>
      <c r="U39" s="37"/>
      <c r="W39" s="37"/>
      <c r="X39" s="18"/>
    </row>
    <row r="40" spans="1:24" s="18" customFormat="1">
      <c r="A40" s="8">
        <v>1</v>
      </c>
      <c r="D40" s="52" t="s">
        <v>50</v>
      </c>
      <c r="E40" s="47" t="str">
        <f t="shared" ref="E40:E45" si="11">INDEX(Customer.List,A40)</f>
        <v>Unmetered water-only customer</v>
      </c>
      <c r="F40" s="57" t="s">
        <v>45</v>
      </c>
      <c r="L40" s="85">
        <f t="shared" ref="L40:P45" si="12">INDEX(Reforecast.Customer.Numbers,$A20,L$6)*INDEX(Modification.Factor,$A29,L$6)/1000000</f>
        <v>7.7130056802899993</v>
      </c>
      <c r="M40" s="85">
        <f t="shared" si="12"/>
        <v>7.7541131000000005</v>
      </c>
      <c r="N40" s="85">
        <f t="shared" si="12"/>
        <v>7.8114228599999986</v>
      </c>
      <c r="O40" s="85">
        <f t="shared" si="12"/>
        <v>8.0799431000000013</v>
      </c>
      <c r="P40" s="85">
        <f t="shared" si="12"/>
        <v>8.0229685472038952</v>
      </c>
      <c r="Q40" s="22"/>
    </row>
    <row r="41" spans="1:24" s="18" customFormat="1">
      <c r="A41" s="8">
        <v>2</v>
      </c>
      <c r="D41" s="52" t="s">
        <v>50</v>
      </c>
      <c r="E41" s="47" t="str">
        <f t="shared" si="11"/>
        <v>Unmetered wastewater-only customer</v>
      </c>
      <c r="F41" s="57" t="s">
        <v>45</v>
      </c>
      <c r="L41" s="85">
        <f t="shared" si="12"/>
        <v>0</v>
      </c>
      <c r="M41" s="85">
        <f t="shared" si="12"/>
        <v>0</v>
      </c>
      <c r="N41" s="85">
        <f t="shared" si="12"/>
        <v>0</v>
      </c>
      <c r="O41" s="85">
        <f t="shared" si="12"/>
        <v>0</v>
      </c>
      <c r="P41" s="85">
        <f t="shared" si="12"/>
        <v>0</v>
      </c>
      <c r="Q41" s="22"/>
    </row>
    <row r="42" spans="1:24" s="18" customFormat="1">
      <c r="A42" s="8">
        <v>3</v>
      </c>
      <c r="D42" s="52" t="s">
        <v>50</v>
      </c>
      <c r="E42" s="47" t="str">
        <f t="shared" si="11"/>
        <v>Unmetered water and wastewater customer</v>
      </c>
      <c r="F42" s="57" t="s">
        <v>45</v>
      </c>
      <c r="L42" s="85">
        <f t="shared" si="12"/>
        <v>0</v>
      </c>
      <c r="M42" s="85">
        <f t="shared" si="12"/>
        <v>0</v>
      </c>
      <c r="N42" s="85">
        <f t="shared" si="12"/>
        <v>0</v>
      </c>
      <c r="O42" s="85">
        <f t="shared" si="12"/>
        <v>0</v>
      </c>
      <c r="P42" s="85">
        <f t="shared" si="12"/>
        <v>0</v>
      </c>
      <c r="Q42" s="22"/>
    </row>
    <row r="43" spans="1:24" s="18" customFormat="1">
      <c r="A43" s="8">
        <v>4</v>
      </c>
      <c r="D43" s="52" t="s">
        <v>50</v>
      </c>
      <c r="E43" s="47" t="str">
        <f t="shared" si="11"/>
        <v>Metered water-only customer</v>
      </c>
      <c r="F43" s="57" t="s">
        <v>45</v>
      </c>
      <c r="L43" s="85">
        <f t="shared" si="12"/>
        <v>7.0341892565909223</v>
      </c>
      <c r="M43" s="85">
        <f t="shared" si="12"/>
        <v>7.3854307000000023</v>
      </c>
      <c r="N43" s="85">
        <f t="shared" si="12"/>
        <v>7.7583967200000004</v>
      </c>
      <c r="O43" s="85">
        <f t="shared" si="12"/>
        <v>8.3931933600000015</v>
      </c>
      <c r="P43" s="85">
        <f t="shared" si="12"/>
        <v>9.2331958036520749</v>
      </c>
      <c r="Q43" s="22"/>
    </row>
    <row r="44" spans="1:24" s="18" customFormat="1">
      <c r="A44" s="8">
        <v>5</v>
      </c>
      <c r="D44" s="52" t="s">
        <v>50</v>
      </c>
      <c r="E44" s="47" t="str">
        <f t="shared" si="11"/>
        <v>Metered wastewater-only customer</v>
      </c>
      <c r="F44" s="57" t="s">
        <v>45</v>
      </c>
      <c r="L44" s="85">
        <f t="shared" si="12"/>
        <v>0</v>
      </c>
      <c r="M44" s="85">
        <f t="shared" si="12"/>
        <v>0</v>
      </c>
      <c r="N44" s="85">
        <f t="shared" si="12"/>
        <v>0</v>
      </c>
      <c r="O44" s="85">
        <f t="shared" si="12"/>
        <v>0</v>
      </c>
      <c r="P44" s="85">
        <f t="shared" si="12"/>
        <v>0</v>
      </c>
      <c r="Q44" s="22"/>
    </row>
    <row r="45" spans="1:24" s="18" customFormat="1">
      <c r="A45" s="8">
        <v>6</v>
      </c>
      <c r="D45" s="52" t="s">
        <v>50</v>
      </c>
      <c r="E45" s="47" t="str">
        <f t="shared" si="11"/>
        <v>Meterered water and wastewater customer</v>
      </c>
      <c r="F45" s="57" t="s">
        <v>45</v>
      </c>
      <c r="L45" s="85">
        <f t="shared" si="12"/>
        <v>0</v>
      </c>
      <c r="M45" s="85">
        <f t="shared" si="12"/>
        <v>0</v>
      </c>
      <c r="N45" s="85">
        <f t="shared" si="12"/>
        <v>0</v>
      </c>
      <c r="O45" s="85">
        <f t="shared" si="12"/>
        <v>0</v>
      </c>
      <c r="P45" s="85">
        <f t="shared" si="12"/>
        <v>0</v>
      </c>
      <c r="Q45" s="22"/>
    </row>
    <row r="46" spans="1:24" s="18" customFormat="1" ht="13.5" customHeight="1">
      <c r="D46" s="52" t="s">
        <v>50</v>
      </c>
      <c r="E46" s="14" t="s">
        <v>22</v>
      </c>
      <c r="F46" s="19"/>
      <c r="L46" s="86">
        <f>SUM(L40:L45)</f>
        <v>14.747194936880922</v>
      </c>
      <c r="M46" s="86">
        <f t="shared" ref="M46:P46" si="13">SUM(M40:M45)</f>
        <v>15.139543800000002</v>
      </c>
      <c r="N46" s="86">
        <f t="shared" si="13"/>
        <v>15.569819579999999</v>
      </c>
      <c r="O46" s="86">
        <f t="shared" si="13"/>
        <v>16.473136460000003</v>
      </c>
      <c r="P46" s="86">
        <f t="shared" si="13"/>
        <v>17.256164350855968</v>
      </c>
      <c r="Q46" s="22"/>
      <c r="R46" s="22"/>
      <c r="S46" s="22"/>
      <c r="T46" s="22"/>
      <c r="U46" s="22"/>
      <c r="W46" s="42">
        <f>SUM(L46:P46)</f>
        <v>79.18585912773689</v>
      </c>
    </row>
    <row r="47" spans="1:24" s="3" customFormat="1" ht="13.2">
      <c r="D47" s="31"/>
      <c r="E47" s="14"/>
      <c r="F47" s="19"/>
      <c r="J47" s="18"/>
      <c r="L47" s="22"/>
      <c r="M47" s="22"/>
      <c r="N47" s="22"/>
      <c r="O47" s="22"/>
      <c r="P47" s="22"/>
      <c r="Q47" s="22"/>
      <c r="R47" s="22"/>
      <c r="S47" s="22"/>
      <c r="T47" s="22"/>
      <c r="U47" s="22"/>
      <c r="W47" s="22"/>
      <c r="X47" s="18"/>
    </row>
    <row r="48" spans="1:24" s="18" customFormat="1" ht="13.2">
      <c r="D48" s="51"/>
      <c r="E48" s="14" t="s">
        <v>46</v>
      </c>
      <c r="F48" s="19"/>
      <c r="L48" s="37"/>
      <c r="M48" s="37"/>
      <c r="N48" s="37"/>
      <c r="O48" s="37"/>
      <c r="P48" s="37"/>
      <c r="Q48" s="22"/>
      <c r="R48" s="37"/>
      <c r="S48" s="37"/>
      <c r="T48" s="37"/>
      <c r="U48" s="37"/>
      <c r="W48" s="37"/>
    </row>
    <row r="49" spans="1:23" s="18" customFormat="1">
      <c r="A49" s="8">
        <v>1</v>
      </c>
      <c r="D49" s="52" t="s">
        <v>50</v>
      </c>
      <c r="E49" s="47" t="str">
        <f t="shared" ref="E49:E54" si="14">INDEX(Customer.List,A49)</f>
        <v>Unmetered water-only customer</v>
      </c>
      <c r="F49" s="57" t="s">
        <v>45</v>
      </c>
      <c r="L49" s="85">
        <f t="shared" ref="L49:P54" si="15">INDEX(Actual.Revenue.Collected.Net,$A49,L$6)</f>
        <v>8.8705380888626841</v>
      </c>
      <c r="M49" s="85">
        <f t="shared" si="15"/>
        <v>8.572653656404464</v>
      </c>
      <c r="N49" s="85">
        <f t="shared" si="15"/>
        <v>8.4778160837196328</v>
      </c>
      <c r="O49" s="85">
        <f t="shared" si="15"/>
        <v>9.3495772895333804</v>
      </c>
      <c r="P49" s="85">
        <f t="shared" si="15"/>
        <v>9.6135371436074379</v>
      </c>
      <c r="Q49" s="22"/>
    </row>
    <row r="50" spans="1:23" s="18" customFormat="1">
      <c r="A50" s="8">
        <v>2</v>
      </c>
      <c r="D50" s="52" t="s">
        <v>50</v>
      </c>
      <c r="E50" s="47" t="str">
        <f t="shared" si="14"/>
        <v>Unmetered wastewater-only customer</v>
      </c>
      <c r="F50" s="57" t="s">
        <v>45</v>
      </c>
      <c r="L50" s="85">
        <f t="shared" si="15"/>
        <v>0</v>
      </c>
      <c r="M50" s="85">
        <f t="shared" si="15"/>
        <v>0</v>
      </c>
      <c r="N50" s="85">
        <f t="shared" si="15"/>
        <v>0</v>
      </c>
      <c r="O50" s="85">
        <f t="shared" si="15"/>
        <v>0</v>
      </c>
      <c r="P50" s="85">
        <f t="shared" si="15"/>
        <v>0</v>
      </c>
      <c r="Q50" s="22"/>
    </row>
    <row r="51" spans="1:23" s="18" customFormat="1">
      <c r="A51" s="8">
        <v>3</v>
      </c>
      <c r="D51" s="52" t="s">
        <v>50</v>
      </c>
      <c r="E51" s="47" t="str">
        <f t="shared" si="14"/>
        <v>Unmetered water and wastewater customer</v>
      </c>
      <c r="F51" s="57" t="s">
        <v>45</v>
      </c>
      <c r="L51" s="85">
        <f t="shared" si="15"/>
        <v>0</v>
      </c>
      <c r="M51" s="85">
        <f t="shared" si="15"/>
        <v>0</v>
      </c>
      <c r="N51" s="85">
        <f t="shared" si="15"/>
        <v>0</v>
      </c>
      <c r="O51" s="85">
        <f t="shared" si="15"/>
        <v>0</v>
      </c>
      <c r="P51" s="85">
        <f t="shared" si="15"/>
        <v>0</v>
      </c>
      <c r="Q51" s="22"/>
    </row>
    <row r="52" spans="1:23" s="18" customFormat="1">
      <c r="A52" s="8">
        <v>4</v>
      </c>
      <c r="D52" s="52" t="s">
        <v>50</v>
      </c>
      <c r="E52" s="47" t="str">
        <f t="shared" si="14"/>
        <v>Metered water-only customer</v>
      </c>
      <c r="F52" s="57" t="s">
        <v>45</v>
      </c>
      <c r="L52" s="85">
        <f t="shared" si="15"/>
        <v>6.063264891883084</v>
      </c>
      <c r="M52" s="85">
        <f t="shared" si="15"/>
        <v>6.1059857651650242</v>
      </c>
      <c r="N52" s="85">
        <f t="shared" si="15"/>
        <v>6.739744892187689</v>
      </c>
      <c r="O52" s="85">
        <f t="shared" si="15"/>
        <v>7.4327828250786245</v>
      </c>
      <c r="P52" s="85">
        <f t="shared" si="15"/>
        <v>7.6426272072485313</v>
      </c>
      <c r="Q52" s="22"/>
    </row>
    <row r="53" spans="1:23" s="18" customFormat="1">
      <c r="A53" s="8">
        <v>5</v>
      </c>
      <c r="D53" s="52" t="s">
        <v>50</v>
      </c>
      <c r="E53" s="47" t="str">
        <f t="shared" si="14"/>
        <v>Metered wastewater-only customer</v>
      </c>
      <c r="F53" s="57" t="s">
        <v>45</v>
      </c>
      <c r="L53" s="85">
        <f t="shared" si="15"/>
        <v>0</v>
      </c>
      <c r="M53" s="85">
        <f t="shared" si="15"/>
        <v>0</v>
      </c>
      <c r="N53" s="85">
        <f t="shared" si="15"/>
        <v>0</v>
      </c>
      <c r="O53" s="85">
        <f t="shared" si="15"/>
        <v>0</v>
      </c>
      <c r="P53" s="85">
        <f t="shared" si="15"/>
        <v>0</v>
      </c>
      <c r="Q53" s="22"/>
    </row>
    <row r="54" spans="1:23" s="18" customFormat="1">
      <c r="A54" s="8">
        <v>6</v>
      </c>
      <c r="D54" s="52" t="s">
        <v>50</v>
      </c>
      <c r="E54" s="47" t="str">
        <f t="shared" si="14"/>
        <v>Meterered water and wastewater customer</v>
      </c>
      <c r="F54" s="57" t="s">
        <v>45</v>
      </c>
      <c r="L54" s="85">
        <f t="shared" si="15"/>
        <v>0</v>
      </c>
      <c r="M54" s="85">
        <f t="shared" si="15"/>
        <v>0</v>
      </c>
      <c r="N54" s="85">
        <f t="shared" si="15"/>
        <v>0</v>
      </c>
      <c r="O54" s="85">
        <f t="shared" si="15"/>
        <v>0</v>
      </c>
      <c r="P54" s="85">
        <f t="shared" si="15"/>
        <v>0</v>
      </c>
      <c r="Q54" s="22"/>
    </row>
    <row r="55" spans="1:23" s="18" customFormat="1" ht="13.2">
      <c r="D55" s="52" t="s">
        <v>50</v>
      </c>
      <c r="E55" s="14" t="s">
        <v>22</v>
      </c>
      <c r="F55" s="19"/>
      <c r="L55" s="86">
        <f>SUM(L49:L54)</f>
        <v>14.933802980745767</v>
      </c>
      <c r="M55" s="86">
        <f t="shared" ref="M55:P55" si="16">SUM(M49:M54)</f>
        <v>14.678639421569489</v>
      </c>
      <c r="N55" s="86">
        <f t="shared" si="16"/>
        <v>15.217560975907322</v>
      </c>
      <c r="O55" s="86">
        <f t="shared" si="16"/>
        <v>16.782360114612004</v>
      </c>
      <c r="P55" s="86">
        <f t="shared" si="16"/>
        <v>17.256164350855968</v>
      </c>
      <c r="Q55" s="22"/>
      <c r="R55" s="22"/>
      <c r="S55" s="22"/>
      <c r="T55" s="22"/>
      <c r="U55" s="22"/>
      <c r="W55" s="22"/>
    </row>
    <row r="56" spans="1:23" s="18" customFormat="1" ht="13.2">
      <c r="D56" s="31"/>
      <c r="E56" s="14"/>
      <c r="F56" s="19"/>
      <c r="L56" s="22"/>
      <c r="M56" s="22"/>
      <c r="N56" s="22"/>
      <c r="O56" s="22"/>
      <c r="P56" s="22"/>
      <c r="Q56" s="22"/>
      <c r="R56" s="22"/>
      <c r="S56" s="22"/>
      <c r="T56" s="22"/>
      <c r="U56" s="22"/>
      <c r="W56" s="22"/>
    </row>
    <row r="57" spans="1:23" s="18" customFormat="1" ht="13.2">
      <c r="D57" s="51"/>
      <c r="E57" s="14" t="s">
        <v>79</v>
      </c>
      <c r="F57" s="19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37"/>
    </row>
    <row r="58" spans="1:23" s="18" customFormat="1">
      <c r="A58" s="8">
        <v>1</v>
      </c>
      <c r="D58" s="52" t="s">
        <v>50</v>
      </c>
      <c r="E58" s="47" t="str">
        <f t="shared" ref="E58:E63" si="17">INDEX(Customer.List,A58)</f>
        <v>Unmetered water-only customer</v>
      </c>
      <c r="F58" s="57" t="s">
        <v>45</v>
      </c>
      <c r="L58" s="85">
        <f t="shared" ref="L58:P63" si="18">L40-L49</f>
        <v>-1.1575324085726848</v>
      </c>
      <c r="M58" s="85">
        <f t="shared" si="18"/>
        <v>-0.81854055640446344</v>
      </c>
      <c r="N58" s="85">
        <f t="shared" si="18"/>
        <v>-0.66639322371963416</v>
      </c>
      <c r="O58" s="85">
        <f t="shared" si="18"/>
        <v>-1.2696341895333791</v>
      </c>
      <c r="P58" s="85">
        <f t="shared" si="18"/>
        <v>-1.5905685964035428</v>
      </c>
    </row>
    <row r="59" spans="1:23" s="18" customFormat="1">
      <c r="A59" s="8">
        <v>2</v>
      </c>
      <c r="D59" s="52" t="s">
        <v>50</v>
      </c>
      <c r="E59" s="47" t="str">
        <f t="shared" si="17"/>
        <v>Unmetered wastewater-only customer</v>
      </c>
      <c r="F59" s="57" t="s">
        <v>45</v>
      </c>
      <c r="L59" s="85">
        <f t="shared" si="18"/>
        <v>0</v>
      </c>
      <c r="M59" s="85">
        <f t="shared" si="18"/>
        <v>0</v>
      </c>
      <c r="N59" s="85">
        <f t="shared" si="18"/>
        <v>0</v>
      </c>
      <c r="O59" s="85">
        <f t="shared" si="18"/>
        <v>0</v>
      </c>
      <c r="P59" s="85">
        <f t="shared" si="18"/>
        <v>0</v>
      </c>
    </row>
    <row r="60" spans="1:23" s="18" customFormat="1">
      <c r="A60" s="8">
        <v>3</v>
      </c>
      <c r="D60" s="52" t="s">
        <v>50</v>
      </c>
      <c r="E60" s="47" t="str">
        <f t="shared" si="17"/>
        <v>Unmetered water and wastewater customer</v>
      </c>
      <c r="F60" s="57" t="s">
        <v>45</v>
      </c>
      <c r="L60" s="85">
        <f t="shared" si="18"/>
        <v>0</v>
      </c>
      <c r="M60" s="85">
        <f t="shared" si="18"/>
        <v>0</v>
      </c>
      <c r="N60" s="85">
        <f t="shared" si="18"/>
        <v>0</v>
      </c>
      <c r="O60" s="85">
        <f t="shared" si="18"/>
        <v>0</v>
      </c>
      <c r="P60" s="85">
        <f t="shared" si="18"/>
        <v>0</v>
      </c>
      <c r="Q60" s="22"/>
    </row>
    <row r="61" spans="1:23" s="18" customFormat="1">
      <c r="A61" s="8">
        <v>4</v>
      </c>
      <c r="D61" s="52" t="s">
        <v>50</v>
      </c>
      <c r="E61" s="47" t="str">
        <f t="shared" si="17"/>
        <v>Metered water-only customer</v>
      </c>
      <c r="F61" s="57" t="s">
        <v>45</v>
      </c>
      <c r="L61" s="85">
        <f t="shared" si="18"/>
        <v>0.97092436470783827</v>
      </c>
      <c r="M61" s="85">
        <f t="shared" si="18"/>
        <v>1.2794449348349781</v>
      </c>
      <c r="N61" s="85">
        <f t="shared" si="18"/>
        <v>1.0186518278123113</v>
      </c>
      <c r="O61" s="85">
        <f t="shared" si="18"/>
        <v>0.96041053492137696</v>
      </c>
      <c r="P61" s="85">
        <f t="shared" si="18"/>
        <v>1.5905685964035436</v>
      </c>
    </row>
    <row r="62" spans="1:23" s="18" customFormat="1">
      <c r="A62" s="8">
        <v>5</v>
      </c>
      <c r="D62" s="52" t="s">
        <v>50</v>
      </c>
      <c r="E62" s="47" t="str">
        <f t="shared" si="17"/>
        <v>Metered wastewater-only customer</v>
      </c>
      <c r="F62" s="57" t="s">
        <v>45</v>
      </c>
      <c r="L62" s="85">
        <f t="shared" si="18"/>
        <v>0</v>
      </c>
      <c r="M62" s="85">
        <f t="shared" si="18"/>
        <v>0</v>
      </c>
      <c r="N62" s="85">
        <f t="shared" si="18"/>
        <v>0</v>
      </c>
      <c r="O62" s="85">
        <f t="shared" si="18"/>
        <v>0</v>
      </c>
      <c r="P62" s="85">
        <f t="shared" si="18"/>
        <v>0</v>
      </c>
    </row>
    <row r="63" spans="1:23" s="18" customFormat="1">
      <c r="A63" s="8">
        <v>6</v>
      </c>
      <c r="D63" s="52" t="s">
        <v>50</v>
      </c>
      <c r="E63" s="47" t="str">
        <f t="shared" si="17"/>
        <v>Meterered water and wastewater customer</v>
      </c>
      <c r="F63" s="57" t="s">
        <v>45</v>
      </c>
      <c r="L63" s="85">
        <f t="shared" si="18"/>
        <v>0</v>
      </c>
      <c r="M63" s="85">
        <f t="shared" si="18"/>
        <v>0</v>
      </c>
      <c r="N63" s="85">
        <f t="shared" si="18"/>
        <v>0</v>
      </c>
      <c r="O63" s="85">
        <f t="shared" si="18"/>
        <v>0</v>
      </c>
      <c r="P63" s="85">
        <f t="shared" si="18"/>
        <v>0</v>
      </c>
      <c r="Q63" s="22"/>
    </row>
    <row r="64" spans="1:23" s="18" customFormat="1" ht="13.2">
      <c r="D64" s="52" t="s">
        <v>50</v>
      </c>
      <c r="E64" s="14" t="s">
        <v>22</v>
      </c>
      <c r="F64" s="19"/>
      <c r="L64" s="86">
        <f>SUM(L58:L63)</f>
        <v>-0.18660804386484653</v>
      </c>
      <c r="M64" s="86">
        <f t="shared" ref="M64:P64" si="19">SUM(M58:M63)</f>
        <v>0.46090437843051468</v>
      </c>
      <c r="N64" s="86">
        <f t="shared" si="19"/>
        <v>0.35225860409267717</v>
      </c>
      <c r="O64" s="86">
        <f t="shared" si="19"/>
        <v>-0.30922365461200219</v>
      </c>
      <c r="P64" s="86">
        <f t="shared" si="19"/>
        <v>8.8817841970012523E-16</v>
      </c>
      <c r="R64" s="22"/>
      <c r="S64" s="22"/>
      <c r="T64" s="22"/>
      <c r="U64" s="22"/>
      <c r="W64" s="22"/>
    </row>
    <row r="65" spans="1:23" s="18" customFormat="1" ht="13.2">
      <c r="D65" s="33"/>
      <c r="E65" s="14"/>
      <c r="F65" s="19"/>
      <c r="L65" s="90"/>
      <c r="M65" s="90"/>
      <c r="N65" s="90"/>
      <c r="O65" s="90"/>
      <c r="P65" s="91"/>
      <c r="R65" s="22"/>
      <c r="S65" s="22"/>
      <c r="T65" s="22"/>
      <c r="U65" s="22"/>
      <c r="W65" s="22"/>
    </row>
    <row r="66" spans="1:23" s="18" customFormat="1" ht="13.2">
      <c r="D66" s="52" t="s">
        <v>50</v>
      </c>
      <c r="E66" s="14" t="s">
        <v>80</v>
      </c>
      <c r="F66" s="19"/>
      <c r="L66" s="22"/>
      <c r="M66" s="22"/>
      <c r="N66" s="22"/>
      <c r="O66" s="22"/>
      <c r="P66" s="92">
        <f>SUM(L64:P64)</f>
        <v>0.31733128404634403</v>
      </c>
      <c r="R66" s="22"/>
      <c r="S66" s="22"/>
      <c r="T66" s="22"/>
      <c r="U66" s="22"/>
      <c r="W66" s="22"/>
    </row>
    <row r="67" spans="1:23" s="18" customFormat="1" ht="13.2">
      <c r="D67" s="31"/>
      <c r="E67" s="14"/>
      <c r="F67" s="19"/>
      <c r="L67" s="22"/>
      <c r="M67" s="22"/>
      <c r="N67" s="22"/>
      <c r="O67" s="22"/>
      <c r="P67" s="93"/>
      <c r="R67" s="22"/>
      <c r="S67" s="22"/>
      <c r="T67" s="22"/>
      <c r="U67" s="22"/>
      <c r="W67" s="22"/>
    </row>
    <row r="68" spans="1:23" s="18" customFormat="1" ht="13.2">
      <c r="D68" s="51"/>
      <c r="E68" s="14" t="s">
        <v>42</v>
      </c>
      <c r="F68" s="19"/>
      <c r="L68" s="37"/>
      <c r="M68" s="37"/>
      <c r="N68" s="37"/>
      <c r="O68" s="37"/>
      <c r="P68" s="37"/>
      <c r="R68" s="37"/>
      <c r="S68" s="37"/>
      <c r="T68" s="37"/>
      <c r="U68" s="37"/>
      <c r="W68" s="37"/>
    </row>
    <row r="69" spans="1:23" s="18" customFormat="1">
      <c r="A69" s="8">
        <v>1</v>
      </c>
      <c r="D69" s="52" t="s">
        <v>50</v>
      </c>
      <c r="E69" s="47" t="str">
        <f t="shared" ref="E69:E74" si="20">INDEX(Customer.List,A69)</f>
        <v>Unmetered water-only customer</v>
      </c>
      <c r="F69" s="57" t="s">
        <v>45</v>
      </c>
      <c r="L69" s="85">
        <f>SUM(L29,L58)</f>
        <v>-1.0893621588626843</v>
      </c>
      <c r="M69" s="85">
        <f t="shared" ref="L69:P74" si="21">SUM(M29,M58)</f>
        <v>-0.91718737640446346</v>
      </c>
      <c r="N69" s="85">
        <f t="shared" si="21"/>
        <v>-0.4902368548732588</v>
      </c>
      <c r="O69" s="85">
        <f t="shared" si="21"/>
        <v>-1.2861972661498975</v>
      </c>
      <c r="P69" s="85">
        <f t="shared" si="21"/>
        <v>-1.5905685964035428</v>
      </c>
    </row>
    <row r="70" spans="1:23" s="18" customFormat="1">
      <c r="A70" s="8">
        <v>2</v>
      </c>
      <c r="D70" s="52" t="s">
        <v>50</v>
      </c>
      <c r="E70" s="47" t="str">
        <f t="shared" si="20"/>
        <v>Unmetered wastewater-only customer</v>
      </c>
      <c r="F70" s="57" t="s">
        <v>45</v>
      </c>
      <c r="L70" s="85">
        <f t="shared" si="21"/>
        <v>0</v>
      </c>
      <c r="M70" s="85">
        <f t="shared" si="21"/>
        <v>0</v>
      </c>
      <c r="N70" s="85">
        <f t="shared" si="21"/>
        <v>0</v>
      </c>
      <c r="O70" s="85">
        <f t="shared" si="21"/>
        <v>0</v>
      </c>
      <c r="P70" s="85">
        <f t="shared" si="21"/>
        <v>0</v>
      </c>
    </row>
    <row r="71" spans="1:23" s="18" customFormat="1">
      <c r="A71" s="8">
        <v>3</v>
      </c>
      <c r="D71" s="52" t="s">
        <v>50</v>
      </c>
      <c r="E71" s="47" t="str">
        <f t="shared" si="20"/>
        <v>Unmetered water and wastewater customer</v>
      </c>
      <c r="F71" s="57" t="s">
        <v>45</v>
      </c>
      <c r="L71" s="85">
        <f t="shared" si="21"/>
        <v>0</v>
      </c>
      <c r="M71" s="85">
        <f t="shared" si="21"/>
        <v>0</v>
      </c>
      <c r="N71" s="85">
        <f t="shared" si="21"/>
        <v>0</v>
      </c>
      <c r="O71" s="85">
        <f t="shared" si="21"/>
        <v>0</v>
      </c>
      <c r="P71" s="85">
        <f t="shared" si="21"/>
        <v>0</v>
      </c>
    </row>
    <row r="72" spans="1:23" s="18" customFormat="1">
      <c r="A72" s="8">
        <v>4</v>
      </c>
      <c r="D72" s="52" t="s">
        <v>50</v>
      </c>
      <c r="E72" s="47" t="str">
        <f t="shared" si="20"/>
        <v>Metered water-only customer</v>
      </c>
      <c r="F72" s="57" t="s">
        <v>45</v>
      </c>
      <c r="L72" s="85">
        <f t="shared" si="21"/>
        <v>1.0930959781169161</v>
      </c>
      <c r="M72" s="85">
        <f t="shared" si="21"/>
        <v>1.3946207848349765</v>
      </c>
      <c r="N72" s="85">
        <f t="shared" si="21"/>
        <v>1.0662723003556402</v>
      </c>
      <c r="O72" s="85">
        <f t="shared" si="21"/>
        <v>1.2861972661498977</v>
      </c>
      <c r="P72" s="85">
        <f t="shared" si="21"/>
        <v>1.5905685964035436</v>
      </c>
      <c r="U72" s="30"/>
      <c r="W72" s="30"/>
    </row>
    <row r="73" spans="1:23" s="18" customFormat="1">
      <c r="A73" s="8">
        <v>5</v>
      </c>
      <c r="D73" s="52" t="s">
        <v>50</v>
      </c>
      <c r="E73" s="47" t="str">
        <f t="shared" si="20"/>
        <v>Metered wastewater-only customer</v>
      </c>
      <c r="F73" s="57" t="s">
        <v>45</v>
      </c>
      <c r="L73" s="85">
        <f t="shared" si="21"/>
        <v>0</v>
      </c>
      <c r="M73" s="85">
        <f t="shared" si="21"/>
        <v>0</v>
      </c>
      <c r="N73" s="85">
        <f t="shared" si="21"/>
        <v>0</v>
      </c>
      <c r="O73" s="85">
        <f t="shared" si="21"/>
        <v>0</v>
      </c>
      <c r="P73" s="85">
        <f t="shared" si="21"/>
        <v>0</v>
      </c>
    </row>
    <row r="74" spans="1:23" s="18" customFormat="1">
      <c r="A74" s="8">
        <v>6</v>
      </c>
      <c r="D74" s="52" t="s">
        <v>50</v>
      </c>
      <c r="E74" s="47" t="str">
        <f t="shared" si="20"/>
        <v>Meterered water and wastewater customer</v>
      </c>
      <c r="F74" s="57" t="s">
        <v>45</v>
      </c>
      <c r="L74" s="85">
        <f t="shared" si="21"/>
        <v>0</v>
      </c>
      <c r="M74" s="85">
        <f t="shared" si="21"/>
        <v>0</v>
      </c>
      <c r="N74" s="85">
        <f t="shared" si="21"/>
        <v>0</v>
      </c>
      <c r="O74" s="85">
        <f t="shared" si="21"/>
        <v>0</v>
      </c>
      <c r="P74" s="85">
        <f t="shared" si="21"/>
        <v>0</v>
      </c>
    </row>
    <row r="75" spans="1:23" s="18" customFormat="1" ht="13.2">
      <c r="D75" s="52" t="s">
        <v>50</v>
      </c>
      <c r="E75" s="14" t="s">
        <v>22</v>
      </c>
      <c r="F75" s="19"/>
      <c r="L75" s="86">
        <f>SUM(L69:L74)</f>
        <v>3.7338192542317739E-3</v>
      </c>
      <c r="M75" s="86">
        <f t="shared" ref="M75:P75" si="22">SUM(M69:M74)</f>
        <v>0.47743340843051307</v>
      </c>
      <c r="N75" s="86">
        <f t="shared" si="22"/>
        <v>0.5760354454823815</v>
      </c>
      <c r="O75" s="86">
        <f t="shared" si="22"/>
        <v>2.2204460492503131E-16</v>
      </c>
      <c r="P75" s="86">
        <f t="shared" si="22"/>
        <v>8.8817841970012523E-16</v>
      </c>
      <c r="R75" s="22"/>
      <c r="S75" s="22"/>
      <c r="T75" s="22"/>
      <c r="U75" s="22"/>
      <c r="W75" s="22"/>
    </row>
    <row r="76" spans="1:23" s="18" customFormat="1" ht="13.2">
      <c r="D76" s="31"/>
      <c r="E76" s="14"/>
      <c r="F76" s="19"/>
      <c r="L76" s="22"/>
      <c r="M76" s="22"/>
      <c r="N76" s="22"/>
      <c r="O76" s="22"/>
      <c r="P76" s="22"/>
      <c r="Q76" s="22"/>
      <c r="R76" s="22"/>
      <c r="S76" s="22"/>
      <c r="T76" s="22"/>
      <c r="U76" s="22"/>
      <c r="W76" s="22"/>
    </row>
    <row r="77" spans="1:23" s="18" customFormat="1" ht="13.2">
      <c r="D77" s="52" t="s">
        <v>50</v>
      </c>
      <c r="E77" s="14" t="s">
        <v>48</v>
      </c>
      <c r="F77" s="19"/>
      <c r="L77" s="22"/>
      <c r="M77" s="22"/>
      <c r="N77" s="22"/>
      <c r="O77" s="22"/>
      <c r="P77" s="92">
        <f>SUM(L75:P75)</f>
        <v>1.0572026731671273</v>
      </c>
      <c r="Q77" s="22"/>
      <c r="R77" s="22"/>
      <c r="S77" s="22"/>
      <c r="T77" s="22"/>
      <c r="U77" s="22"/>
      <c r="W77" s="22"/>
    </row>
    <row r="78" spans="1:23" s="18" customFormat="1" ht="13.2">
      <c r="D78" s="31"/>
      <c r="E78" s="14"/>
      <c r="F78" s="19"/>
      <c r="L78" s="22"/>
      <c r="M78" s="22"/>
      <c r="N78" s="22"/>
      <c r="O78" s="22"/>
      <c r="P78" s="94"/>
      <c r="Q78" s="22"/>
      <c r="R78" s="22"/>
      <c r="S78" s="22"/>
      <c r="T78" s="22"/>
      <c r="U78" s="22"/>
      <c r="W78" s="22"/>
    </row>
    <row r="79" spans="1:23" s="18" customFormat="1" ht="13.2">
      <c r="D79" s="31"/>
      <c r="E79" s="14" t="s">
        <v>51</v>
      </c>
      <c r="F79" s="19"/>
      <c r="L79" s="22"/>
      <c r="M79" s="22"/>
      <c r="N79" s="22"/>
      <c r="O79" s="22"/>
      <c r="P79" s="94"/>
      <c r="Q79" s="22"/>
      <c r="R79" s="22"/>
      <c r="S79" s="22"/>
      <c r="T79" s="22"/>
      <c r="U79" s="22"/>
      <c r="W79" s="22"/>
    </row>
    <row r="80" spans="1:23" s="18" customFormat="1" ht="13.2">
      <c r="A80" s="76"/>
      <c r="B80" s="76"/>
      <c r="C80" s="76"/>
      <c r="D80" s="52" t="s">
        <v>50</v>
      </c>
      <c r="E80" s="63" t="s">
        <v>58</v>
      </c>
      <c r="F80" s="19" t="s">
        <v>45</v>
      </c>
      <c r="G80" s="63"/>
      <c r="H80" s="63"/>
      <c r="I80" s="63"/>
      <c r="J80" s="63"/>
      <c r="K80" s="65"/>
      <c r="L80" s="68">
        <f>0-L64</f>
        <v>0.18660804386484653</v>
      </c>
      <c r="M80" s="68">
        <f t="shared" ref="M80:P80" si="23">0-M64</f>
        <v>-0.46090437843051468</v>
      </c>
      <c r="N80" s="68">
        <f t="shared" si="23"/>
        <v>-0.35225860409267717</v>
      </c>
      <c r="O80" s="68">
        <f>0-O64</f>
        <v>0.30922365461200219</v>
      </c>
      <c r="P80" s="68">
        <f t="shared" si="23"/>
        <v>-8.8817841970012523E-16</v>
      </c>
      <c r="Q80" s="68"/>
      <c r="R80" s="22"/>
      <c r="S80" s="22"/>
      <c r="T80" s="22"/>
      <c r="U80" s="22"/>
      <c r="W80" s="42">
        <f>SUM(L80:P80)</f>
        <v>-0.31733128404634403</v>
      </c>
    </row>
    <row r="81" spans="1:24" s="18" customFormat="1" ht="13.2">
      <c r="A81" s="76"/>
      <c r="B81" s="76"/>
      <c r="C81" s="76"/>
      <c r="D81" s="52" t="s">
        <v>55</v>
      </c>
      <c r="E81" s="63" t="s">
        <v>59</v>
      </c>
      <c r="F81" s="19"/>
      <c r="G81" s="63"/>
      <c r="H81" s="63"/>
      <c r="I81" s="65"/>
      <c r="J81" s="65"/>
      <c r="K81" s="65"/>
      <c r="L81" s="68"/>
      <c r="M81" s="68"/>
      <c r="N81" s="68"/>
      <c r="O81" s="68"/>
      <c r="P81" s="68"/>
      <c r="Q81" s="22"/>
      <c r="R81" s="22"/>
      <c r="S81" s="22"/>
      <c r="T81" s="22"/>
      <c r="U81" s="22"/>
      <c r="W81" s="74">
        <f>IF(SUM(W35+W46)=0,0,W80/(W35+W46))</f>
        <v>-3.9703269772356168E-3</v>
      </c>
    </row>
    <row r="82" spans="1:24" s="18" customFormat="1" ht="13.2">
      <c r="A82" s="76"/>
      <c r="B82" s="76"/>
      <c r="C82" s="76"/>
      <c r="D82" s="64" t="s">
        <v>54</v>
      </c>
      <c r="E82" s="61" t="s">
        <v>61</v>
      </c>
      <c r="F82" s="19"/>
      <c r="G82" s="63"/>
      <c r="H82" s="63"/>
      <c r="I82" s="63"/>
      <c r="J82" s="63"/>
      <c r="K82" s="65"/>
      <c r="L82" s="22"/>
      <c r="M82" s="68"/>
      <c r="N82" s="68"/>
      <c r="O82" s="68"/>
      <c r="P82" s="68"/>
      <c r="Q82" s="22"/>
      <c r="R82" s="22"/>
      <c r="S82" s="22"/>
      <c r="T82" s="22"/>
      <c r="U82" s="22"/>
      <c r="W82" s="66" t="b">
        <f>ABS(W81)&gt;Materiality.Threshold</f>
        <v>0</v>
      </c>
    </row>
    <row r="83" spans="1:24" s="18" customFormat="1" ht="13.2">
      <c r="A83" s="76"/>
      <c r="B83" s="76"/>
      <c r="C83" s="76"/>
      <c r="D83" s="31"/>
      <c r="E83" s="14"/>
      <c r="F83" s="19"/>
      <c r="L83" s="22"/>
      <c r="M83" s="22"/>
      <c r="N83" s="22"/>
      <c r="O83" s="22"/>
      <c r="P83" s="94"/>
      <c r="Q83" s="22"/>
      <c r="R83" s="22"/>
      <c r="S83" s="22"/>
      <c r="T83" s="22"/>
      <c r="U83" s="22"/>
      <c r="W83" s="22"/>
    </row>
    <row r="84" spans="1:24" s="18" customFormat="1" ht="13.2">
      <c r="A84" s="76"/>
      <c r="B84" s="76"/>
      <c r="C84" s="76"/>
      <c r="D84" s="31"/>
      <c r="E84" s="14" t="s">
        <v>52</v>
      </c>
      <c r="F84" s="19"/>
      <c r="L84" s="22"/>
      <c r="M84" s="22"/>
      <c r="N84" s="22"/>
      <c r="O84" s="22"/>
      <c r="P84" s="22"/>
      <c r="Q84" s="22"/>
      <c r="R84" s="22"/>
      <c r="S84" s="22"/>
      <c r="T84" s="22"/>
      <c r="U84" s="22"/>
      <c r="W84" s="22"/>
    </row>
    <row r="85" spans="1:24" s="18" customFormat="1" ht="13.2">
      <c r="A85" s="76"/>
      <c r="B85" s="76"/>
      <c r="C85" s="76"/>
      <c r="D85" s="31"/>
      <c r="E85" s="14"/>
      <c r="F85" s="19"/>
      <c r="L85" s="22"/>
      <c r="M85" s="22"/>
      <c r="N85" s="22"/>
      <c r="O85" s="22"/>
      <c r="P85" s="95"/>
      <c r="Q85" s="22"/>
      <c r="R85" s="22"/>
      <c r="S85" s="22"/>
      <c r="T85" s="22"/>
      <c r="U85" s="22"/>
      <c r="W85" s="22"/>
    </row>
    <row r="86" spans="1:24" s="18" customFormat="1">
      <c r="A86" s="8">
        <v>1</v>
      </c>
      <c r="B86" s="76"/>
      <c r="C86" s="76"/>
      <c r="D86" s="52" t="s">
        <v>50</v>
      </c>
      <c r="E86" s="61" t="s">
        <v>64</v>
      </c>
      <c r="F86" s="19" t="s">
        <v>45</v>
      </c>
      <c r="H86"/>
      <c r="I86"/>
      <c r="J86"/>
      <c r="K86"/>
      <c r="L86" s="68">
        <f>INDEX($L$75:$P$75,1,$A86)</f>
        <v>3.7338192542317739E-3</v>
      </c>
      <c r="M86" s="68">
        <f>L86*(1+Discount.Rate)</f>
        <v>3.8682367473841179E-3</v>
      </c>
      <c r="N86" s="68">
        <f>M86*(1+Discount.Rate)</f>
        <v>4.0074932702899458E-3</v>
      </c>
      <c r="O86" s="68">
        <f>N86*(1+Discount.Rate)</f>
        <v>4.1517630280203839E-3</v>
      </c>
      <c r="P86" s="68">
        <f>O86*(1+Discount.Rate)</f>
        <v>4.3012264970291175E-3</v>
      </c>
      <c r="R86" s="22"/>
      <c r="S86" s="22"/>
      <c r="T86" s="22"/>
      <c r="U86" s="22"/>
      <c r="W86" s="22"/>
    </row>
    <row r="87" spans="1:24" s="18" customFormat="1">
      <c r="A87" s="8">
        <v>2</v>
      </c>
      <c r="B87" s="76"/>
      <c r="C87" s="76"/>
      <c r="D87" s="52" t="s">
        <v>50</v>
      </c>
      <c r="E87" s="61" t="s">
        <v>67</v>
      </c>
      <c r="F87" s="19" t="s">
        <v>45</v>
      </c>
      <c r="H87"/>
      <c r="I87"/>
      <c r="J87"/>
      <c r="K87"/>
      <c r="L87" s="68"/>
      <c r="M87" s="68">
        <f>INDEX($L$75:$P$75,1,$A87)</f>
        <v>0.47743340843051307</v>
      </c>
      <c r="N87" s="68">
        <f>M87*(1+Discount.Rate)</f>
        <v>0.49462101113401158</v>
      </c>
      <c r="O87" s="68">
        <f>N87*(1+Discount.Rate)</f>
        <v>0.51242736753483598</v>
      </c>
      <c r="P87" s="68">
        <f>O87*(1+Discount.Rate)</f>
        <v>0.53087475276609009</v>
      </c>
      <c r="R87" s="22"/>
      <c r="S87" s="22"/>
      <c r="T87" s="22"/>
      <c r="U87" s="22"/>
      <c r="W87" s="22"/>
    </row>
    <row r="88" spans="1:24" s="18" customFormat="1">
      <c r="A88" s="8">
        <v>3</v>
      </c>
      <c r="B88" s="76"/>
      <c r="C88" s="76"/>
      <c r="D88" s="52" t="s">
        <v>50</v>
      </c>
      <c r="E88" s="61" t="s">
        <v>65</v>
      </c>
      <c r="F88" s="19" t="s">
        <v>45</v>
      </c>
      <c r="H88"/>
      <c r="I88"/>
      <c r="J88"/>
      <c r="K88"/>
      <c r="L88" s="68"/>
      <c r="M88" s="68"/>
      <c r="N88" s="68">
        <f>INDEX($L$75:$P$75,1,$A88)</f>
        <v>0.5760354454823815</v>
      </c>
      <c r="O88" s="68">
        <f>N88*(1+Discount.Rate)</f>
        <v>0.59677272151974725</v>
      </c>
      <c r="P88" s="68">
        <f>O88*(1+Discount.Rate)</f>
        <v>0.61825653949445813</v>
      </c>
      <c r="R88" s="22"/>
      <c r="S88" s="22"/>
      <c r="T88" s="22"/>
      <c r="U88" s="22"/>
      <c r="W88" s="22"/>
    </row>
    <row r="89" spans="1:24" s="18" customFormat="1">
      <c r="A89" s="8">
        <v>4</v>
      </c>
      <c r="B89" s="76"/>
      <c r="C89" s="76"/>
      <c r="D89" s="52" t="s">
        <v>50</v>
      </c>
      <c r="E89" s="61" t="s">
        <v>66</v>
      </c>
      <c r="F89" s="19" t="s">
        <v>45</v>
      </c>
      <c r="H89"/>
      <c r="I89"/>
      <c r="J89"/>
      <c r="K89"/>
      <c r="L89" s="68"/>
      <c r="M89" s="68"/>
      <c r="N89" s="68"/>
      <c r="O89" s="68">
        <f>INDEX($L$75:$P$75,1,$A89)</f>
        <v>2.2204460492503131E-16</v>
      </c>
      <c r="P89" s="68">
        <f>O89*(1+Discount.Rate)</f>
        <v>2.3003821070233244E-16</v>
      </c>
      <c r="R89" s="22"/>
      <c r="S89" s="22"/>
      <c r="T89" s="22"/>
      <c r="U89" s="22"/>
      <c r="W89" s="22"/>
    </row>
    <row r="90" spans="1:24" s="18" customFormat="1">
      <c r="A90" s="8">
        <v>5</v>
      </c>
      <c r="B90" s="76"/>
      <c r="C90" s="76"/>
      <c r="D90" s="52" t="s">
        <v>50</v>
      </c>
      <c r="E90" s="61" t="s">
        <v>68</v>
      </c>
      <c r="F90" s="19" t="s">
        <v>45</v>
      </c>
      <c r="H90"/>
      <c r="I90"/>
      <c r="J90"/>
      <c r="K90"/>
      <c r="L90" s="68"/>
      <c r="M90" s="68"/>
      <c r="N90" s="68"/>
      <c r="O90" s="68"/>
      <c r="P90" s="68">
        <f>INDEX($L$75:$P$75,1,$A90)</f>
        <v>8.8817841970012523E-16</v>
      </c>
      <c r="R90" s="22"/>
      <c r="S90" s="22"/>
      <c r="T90" s="22"/>
      <c r="U90" s="22"/>
      <c r="W90" s="22"/>
    </row>
    <row r="91" spans="1:24" s="18" customFormat="1">
      <c r="A91" s="52"/>
      <c r="B91" s="77"/>
      <c r="C91" s="77"/>
      <c r="D91" s="52"/>
      <c r="E91" s="61"/>
      <c r="F91" s="19"/>
      <c r="H91"/>
      <c r="I91"/>
      <c r="J91"/>
      <c r="K91"/>
      <c r="L91" s="68"/>
      <c r="M91" s="68"/>
      <c r="N91" s="68"/>
      <c r="O91" s="68"/>
      <c r="P91" s="68"/>
      <c r="R91" s="22"/>
      <c r="S91" s="22"/>
      <c r="T91" s="22"/>
      <c r="U91" s="22"/>
      <c r="W91" s="22"/>
    </row>
    <row r="92" spans="1:24" s="18" customFormat="1">
      <c r="A92" s="76"/>
      <c r="B92" s="76"/>
      <c r="C92" s="76"/>
      <c r="D92" s="52" t="s">
        <v>50</v>
      </c>
      <c r="E92" s="73" t="s">
        <v>72</v>
      </c>
      <c r="F92" s="19" t="s">
        <v>45</v>
      </c>
      <c r="H92"/>
      <c r="I92"/>
      <c r="J92"/>
      <c r="K92"/>
      <c r="L92" s="68"/>
      <c r="M92" s="68"/>
      <c r="N92" s="68"/>
      <c r="O92" s="68"/>
      <c r="P92" s="92">
        <f>SUM(P86:P90)</f>
        <v>1.1534325187575785</v>
      </c>
      <c r="R92" s="22"/>
      <c r="S92" s="22"/>
      <c r="T92" s="22"/>
      <c r="U92" s="22"/>
      <c r="W92" s="22"/>
    </row>
    <row r="93" spans="1:24" s="18" customFormat="1">
      <c r="A93" s="76"/>
      <c r="B93" s="76"/>
      <c r="C93" s="76"/>
      <c r="D93"/>
      <c r="E93" s="61"/>
      <c r="F93" s="55"/>
      <c r="H93"/>
      <c r="I93"/>
      <c r="J93"/>
      <c r="K93"/>
      <c r="L93" s="96"/>
      <c r="M93" s="96"/>
      <c r="N93" s="96"/>
      <c r="O93" s="96"/>
      <c r="P93" s="96"/>
      <c r="R93" s="22"/>
      <c r="S93" s="22"/>
      <c r="T93" s="22"/>
      <c r="U93" s="22"/>
      <c r="W93" s="22"/>
    </row>
    <row r="94" spans="1:24" s="18" customFormat="1">
      <c r="A94" s="76"/>
      <c r="B94" s="76"/>
      <c r="C94" s="76"/>
      <c r="D94" s="52" t="s">
        <v>50</v>
      </c>
      <c r="E94" s="62" t="s">
        <v>53</v>
      </c>
      <c r="F94" s="19" t="s">
        <v>45</v>
      </c>
      <c r="H94"/>
      <c r="I94"/>
      <c r="J94"/>
      <c r="K94"/>
      <c r="L94" s="96"/>
      <c r="M94" s="96"/>
      <c r="N94" s="96"/>
      <c r="O94" s="96"/>
      <c r="P94" s="92">
        <f>IF(W82,P92,P77)</f>
        <v>1.0572026731671273</v>
      </c>
      <c r="R94" s="22"/>
      <c r="S94" s="22"/>
      <c r="T94" s="22"/>
      <c r="U94" s="22"/>
      <c r="W94" s="22"/>
    </row>
    <row r="95" spans="1:24" s="18" customFormat="1" thickBot="1">
      <c r="D95" s="31"/>
      <c r="E95" s="14"/>
      <c r="F95" s="19"/>
      <c r="L95" s="40"/>
      <c r="M95" s="40"/>
      <c r="N95" s="40"/>
      <c r="O95" s="40"/>
      <c r="P95" s="40"/>
      <c r="Q95" s="22"/>
      <c r="R95" s="22"/>
      <c r="S95" s="22"/>
      <c r="T95" s="22"/>
      <c r="U95" s="22"/>
      <c r="W95" s="22"/>
    </row>
    <row r="96" spans="1:24" s="18" customFormat="1" ht="14.4" thickBot="1">
      <c r="A96" s="50" t="s">
        <v>19</v>
      </c>
      <c r="B96" s="49"/>
      <c r="C96" s="49"/>
      <c r="D96" s="53"/>
      <c r="E96" s="49"/>
      <c r="F96" s="5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6" s="18" customFormat="1" ht="13.2">
      <c r="F97" s="19"/>
    </row>
    <row r="98" spans="6:6" s="18" customFormat="1" ht="13.2" hidden="1">
      <c r="F98" s="19"/>
    </row>
    <row r="99" spans="6:6" s="18" customFormat="1" ht="13.2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8" scale="58" orientation="portrait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40" style="3" bestFit="1" customWidth="1"/>
    <col min="6" max="8" width="2.6640625" style="3" customWidth="1"/>
    <col min="9" max="21" width="9.6640625" style="3" customWidth="1"/>
    <col min="22" max="23" width="9.109375" style="3" customWidth="1"/>
    <col min="24" max="16384" width="0" style="3" hidden="1"/>
  </cols>
  <sheetData>
    <row r="1" spans="1:23" ht="33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3.8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6" t="s">
        <v>35</v>
      </c>
    </row>
    <row r="13" spans="1:23">
      <c r="E13" s="46" t="s">
        <v>34</v>
      </c>
    </row>
    <row r="14" spans="1:23">
      <c r="E14" s="46" t="s">
        <v>25</v>
      </c>
    </row>
    <row r="15" spans="1:23">
      <c r="E15" s="46" t="s">
        <v>36</v>
      </c>
    </row>
    <row r="16" spans="1:23">
      <c r="E16" s="46" t="s">
        <v>37</v>
      </c>
    </row>
    <row r="17" spans="1:23">
      <c r="E17" s="46" t="s">
        <v>38</v>
      </c>
    </row>
    <row r="18" spans="1:23">
      <c r="E18" s="16" t="s">
        <v>33</v>
      </c>
    </row>
    <row r="19" spans="1:23" ht="13.8" thickBot="1">
      <c r="E19" s="16"/>
    </row>
    <row r="20" spans="1:23" ht="13.8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Calcs!Print_Area</vt:lpstr>
      <vt:lpstr>Inputs!Print_Area</vt:lpstr>
      <vt:lpstr>Reforecast.Customer.Numbers</vt:lpstr>
      <vt:lpstr>Revenue.Sacrifice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Philip Saynor</cp:lastModifiedBy>
  <cp:lastPrinted>2018-07-03T13:49:11Z</cp:lastPrinted>
  <dcterms:created xsi:type="dcterms:W3CDTF">2015-02-03T17:19:53Z</dcterms:created>
  <dcterms:modified xsi:type="dcterms:W3CDTF">2018-07-13T14:44:50Z</dcterms:modified>
</cp:coreProperties>
</file>