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DATA\EXCEL\WATER\MANAGE\Regulation\PR24\SUBMISSION DOCUMENTS AND MODELS\"/>
    </mc:Choice>
  </mc:AlternateContent>
  <xr:revisionPtr revIDLastSave="0" documentId="13_ncr:1_{EC879BD2-BC4D-4120-A94A-192AC68B0B8F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3" l="1"/>
  <c r="F9" i="13"/>
  <c r="F10" i="16" l="1"/>
  <c r="D4" i="17" s="1"/>
  <c r="F26" i="16"/>
  <c r="C4" i="18" s="1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39" i="19"/>
  <c r="G38" i="19"/>
  <c r="G37" i="19"/>
  <c r="G36" i="19"/>
  <c r="G35" i="19"/>
  <c r="G34" i="19"/>
  <c r="G33" i="19"/>
  <c r="F32" i="19"/>
  <c r="F31" i="19"/>
  <c r="G29" i="19"/>
  <c r="G27" i="19"/>
  <c r="G26" i="19"/>
  <c r="G25" i="19"/>
  <c r="G24" i="19"/>
  <c r="G23" i="19"/>
  <c r="G21" i="19"/>
  <c r="G20" i="19"/>
  <c r="G19" i="19"/>
  <c r="G17" i="19"/>
  <c r="G15" i="19"/>
  <c r="G14" i="19"/>
  <c r="G12" i="19"/>
  <c r="G10" i="19"/>
  <c r="G8" i="19"/>
  <c r="G7" i="19"/>
  <c r="G6" i="19"/>
  <c r="G4" i="19"/>
  <c r="G3" i="19"/>
  <c r="E2" i="19"/>
  <c r="D4" i="18"/>
  <c r="E1" i="18"/>
  <c r="A1" i="18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E21" i="13"/>
  <c r="G16" i="13"/>
  <c r="E16" i="13"/>
  <c r="G15" i="13"/>
  <c r="E15" i="13"/>
  <c r="G10" i="13"/>
  <c r="E10" i="13"/>
  <c r="G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E46" i="8"/>
  <c r="G45" i="8"/>
  <c r="E45" i="8"/>
  <c r="G40" i="8"/>
  <c r="E40" i="8"/>
  <c r="G39" i="8"/>
  <c r="E39" i="8"/>
  <c r="G34" i="8"/>
  <c r="E34" i="8"/>
  <c r="G33" i="8"/>
  <c r="E33" i="8"/>
  <c r="G28" i="8"/>
  <c r="E28" i="8"/>
  <c r="G27" i="8"/>
  <c r="E27" i="8"/>
  <c r="G22" i="8"/>
  <c r="E22" i="8"/>
  <c r="G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E63" i="7"/>
  <c r="G58" i="7"/>
  <c r="E58" i="7"/>
  <c r="G57" i="7"/>
  <c r="F57" i="7"/>
  <c r="E57" i="7"/>
  <c r="G52" i="7"/>
  <c r="E52" i="7"/>
  <c r="G51" i="7"/>
  <c r="E51" i="7"/>
  <c r="G46" i="7"/>
  <c r="E46" i="7"/>
  <c r="G45" i="7"/>
  <c r="E45" i="7"/>
  <c r="G40" i="7"/>
  <c r="E40" i="7"/>
  <c r="G39" i="7"/>
  <c r="E39" i="7"/>
  <c r="G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C4" i="17" l="1"/>
  <c r="F11" i="9"/>
  <c r="F12" i="11" s="1"/>
  <c r="F13" i="11" s="1"/>
  <c r="F11" i="12"/>
  <c r="G161" i="19" s="1"/>
  <c r="J22" i="6"/>
  <c r="J23" i="6" s="1"/>
  <c r="J4" i="6" s="1"/>
  <c r="K27" i="6"/>
  <c r="K5" i="7" s="1"/>
  <c r="F17" i="12"/>
  <c r="F63" i="11" s="1"/>
  <c r="J17" i="6"/>
  <c r="J18" i="6" s="1"/>
  <c r="K17" i="6"/>
  <c r="K18" i="6" s="1"/>
  <c r="J5" i="7"/>
  <c r="F70" i="14"/>
  <c r="F71" i="14" s="1"/>
  <c r="F42" i="14"/>
  <c r="F43" i="14" s="1"/>
  <c r="F56" i="14"/>
  <c r="F57" i="14" s="1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51" i="9" l="1"/>
  <c r="F52" i="9" s="1"/>
  <c r="F49" i="14"/>
  <c r="F50" i="14" s="1"/>
  <c r="F21" i="14"/>
  <c r="F63" i="14"/>
  <c r="F64" i="14" s="1"/>
  <c r="F16" i="7"/>
  <c r="F17" i="7" s="1"/>
  <c r="G110" i="19" s="1"/>
  <c r="F16" i="8"/>
  <c r="F17" i="8" s="1"/>
  <c r="F22" i="8" s="1"/>
  <c r="F29" i="9"/>
  <c r="F30" i="9" s="1"/>
  <c r="F35" i="9" s="1"/>
  <c r="F10" i="10"/>
  <c r="F11" i="10" s="1"/>
  <c r="G147" i="19" s="1"/>
  <c r="F28" i="14"/>
  <c r="F29" i="14" s="1"/>
  <c r="F83" i="14" s="1"/>
  <c r="F10" i="7"/>
  <c r="F11" i="7" s="1"/>
  <c r="G109" i="19" s="1"/>
  <c r="F58" i="7"/>
  <c r="F59" i="7" s="1"/>
  <c r="F64" i="7" s="1"/>
  <c r="F10" i="8"/>
  <c r="F11" i="8" s="1"/>
  <c r="G126" i="19" s="1"/>
  <c r="F56" i="11"/>
  <c r="F57" i="11" s="1"/>
  <c r="F62" i="11" s="1"/>
  <c r="F65" i="11" s="1"/>
  <c r="F34" i="11"/>
  <c r="F35" i="11" s="1"/>
  <c r="F40" i="11" s="1"/>
  <c r="F35" i="14"/>
  <c r="F36" i="14" s="1"/>
  <c r="F84" i="14" s="1"/>
  <c r="F41" i="11"/>
  <c r="F58" i="9"/>
  <c r="F19" i="11"/>
  <c r="F77" i="14"/>
  <c r="F78" i="14" s="1"/>
  <c r="G178" i="19" s="1"/>
  <c r="G162" i="19"/>
  <c r="F16" i="13"/>
  <c r="G138" i="19"/>
  <c r="J4" i="11"/>
  <c r="F10" i="13"/>
  <c r="F11" i="13" s="1"/>
  <c r="F29" i="12"/>
  <c r="J4" i="13"/>
  <c r="F22" i="12"/>
  <c r="F24" i="12" s="1"/>
  <c r="F36" i="12" s="1"/>
  <c r="F98" i="7"/>
  <c r="J4" i="8"/>
  <c r="J4" i="14"/>
  <c r="J4" i="15"/>
  <c r="F58" i="8"/>
  <c r="J4" i="9"/>
  <c r="G79" i="19"/>
  <c r="J4" i="10"/>
  <c r="J4" i="5"/>
  <c r="F78" i="7"/>
  <c r="F17" i="10"/>
  <c r="J4" i="12"/>
  <c r="F36" i="9"/>
  <c r="F65" i="7"/>
  <c r="F18" i="11"/>
  <c r="G150" i="19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K3" i="11"/>
  <c r="K3" i="5"/>
  <c r="H70" i="19"/>
  <c r="K3" i="15"/>
  <c r="K3" i="12"/>
  <c r="K3" i="8"/>
  <c r="K3" i="7"/>
  <c r="K3" i="10"/>
  <c r="K3" i="9"/>
  <c r="K3" i="14"/>
  <c r="K3" i="13"/>
  <c r="K3" i="6"/>
  <c r="G175" i="19"/>
  <c r="F128" i="14"/>
  <c r="F87" i="14"/>
  <c r="F86" i="14"/>
  <c r="F122" i="14"/>
  <c r="G174" i="19"/>
  <c r="G144" i="19"/>
  <c r="F57" i="9"/>
  <c r="G176" i="19"/>
  <c r="F88" i="14"/>
  <c r="F134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F116" i="14"/>
  <c r="G173" i="19"/>
  <c r="F85" i="14"/>
  <c r="K34" i="6"/>
  <c r="G171" i="19"/>
  <c r="F104" i="14"/>
  <c r="G177" i="19"/>
  <c r="F89" i="14"/>
  <c r="F140" i="14"/>
  <c r="J3" i="14"/>
  <c r="J3" i="12"/>
  <c r="J3" i="5"/>
  <c r="H69" i="19"/>
  <c r="J3" i="11"/>
  <c r="J3" i="15"/>
  <c r="J3" i="8"/>
  <c r="J3" i="10"/>
  <c r="J3" i="9"/>
  <c r="J3" i="13"/>
  <c r="J3" i="7"/>
  <c r="J3" i="6"/>
  <c r="F17" i="13" l="1"/>
  <c r="F22" i="13" s="1"/>
  <c r="F22" i="7"/>
  <c r="F23" i="7" s="1"/>
  <c r="G141" i="19"/>
  <c r="G117" i="19"/>
  <c r="F27" i="7"/>
  <c r="F21" i="11"/>
  <c r="G151" i="19" s="1"/>
  <c r="F27" i="8"/>
  <c r="F16" i="10"/>
  <c r="F146" i="14"/>
  <c r="G127" i="19"/>
  <c r="F110" i="14"/>
  <c r="G172" i="19"/>
  <c r="G156" i="19"/>
  <c r="F28" i="8"/>
  <c r="G153" i="19"/>
  <c r="F28" i="7"/>
  <c r="F90" i="14"/>
  <c r="F60" i="9"/>
  <c r="G145" i="19" s="1"/>
  <c r="F19" i="10"/>
  <c r="F23" i="10" s="1"/>
  <c r="F166" i="19"/>
  <c r="F23" i="13"/>
  <c r="F31" i="12"/>
  <c r="F35" i="12" s="1"/>
  <c r="F37" i="12" s="1"/>
  <c r="F18" i="16" s="1"/>
  <c r="C12" i="17" s="1"/>
  <c r="G163" i="19"/>
  <c r="F167" i="19"/>
  <c r="F69" i="11"/>
  <c r="G157" i="19"/>
  <c r="L3" i="5"/>
  <c r="H71" i="19"/>
  <c r="L3" i="15"/>
  <c r="L3" i="13"/>
  <c r="L3" i="12"/>
  <c r="L3" i="8"/>
  <c r="L3" i="7"/>
  <c r="L3" i="10"/>
  <c r="L3" i="9"/>
  <c r="L3" i="14"/>
  <c r="L3" i="11"/>
  <c r="L3" i="6"/>
  <c r="L4" i="5"/>
  <c r="G81" i="19"/>
  <c r="L4" i="12"/>
  <c r="L4" i="10"/>
  <c r="L4" i="6"/>
  <c r="L4" i="14"/>
  <c r="L4" i="15"/>
  <c r="L4" i="13"/>
  <c r="L4" i="11"/>
  <c r="L4" i="8"/>
  <c r="L4" i="7"/>
  <c r="L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E100" i="19"/>
  <c r="K12" i="6"/>
  <c r="K13" i="6" s="1"/>
  <c r="G111" i="19"/>
  <c r="F77" i="7"/>
  <c r="F80" i="7" s="1"/>
  <c r="F97" i="7"/>
  <c r="F100" i="7" s="1"/>
  <c r="F51" i="7"/>
  <c r="F91" i="7"/>
  <c r="J2" i="15"/>
  <c r="J2" i="5"/>
  <c r="E59" i="19"/>
  <c r="J2" i="11"/>
  <c r="J2" i="12"/>
  <c r="J2" i="14"/>
  <c r="J2" i="13"/>
  <c r="J2" i="10"/>
  <c r="J2" i="9"/>
  <c r="J2" i="7"/>
  <c r="J2" i="6"/>
  <c r="J2" i="8"/>
  <c r="F25" i="11" l="1"/>
  <c r="F29" i="7"/>
  <c r="F29" i="8"/>
  <c r="F129" i="19" s="1"/>
  <c r="G148" i="19"/>
  <c r="F64" i="9"/>
  <c r="F20" i="15"/>
  <c r="F23" i="9"/>
  <c r="G164" i="19"/>
  <c r="G165" i="19"/>
  <c r="F39" i="16"/>
  <c r="C16" i="18" s="1"/>
  <c r="F40" i="8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G120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12" i="19"/>
  <c r="F40" i="7"/>
  <c r="E101" i="19"/>
  <c r="L12" i="6"/>
  <c r="L13" i="6" s="1"/>
  <c r="N34" i="6" l="1"/>
  <c r="E103" i="19" s="1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34" i="6" s="1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N12" i="6"/>
  <c r="N13" i="6" s="1"/>
  <c r="N3" i="5"/>
  <c r="H73" i="19"/>
  <c r="N3" i="15"/>
  <c r="N3" i="10"/>
  <c r="N3" i="14"/>
  <c r="N3" i="6"/>
  <c r="N3" i="13"/>
  <c r="N3" i="11"/>
  <c r="N3" i="12"/>
  <c r="N3" i="8"/>
  <c r="N3" i="9"/>
  <c r="N3" i="7"/>
  <c r="M2" i="11"/>
  <c r="M2" i="5"/>
  <c r="E62" i="19"/>
  <c r="M2" i="15"/>
  <c r="M2" i="12"/>
  <c r="M2" i="14"/>
  <c r="M2" i="8"/>
  <c r="M2" i="7"/>
  <c r="M2" i="13"/>
  <c r="M2" i="10"/>
  <c r="M2" i="9"/>
  <c r="M2" i="6"/>
  <c r="N4" i="15"/>
  <c r="N4" i="5"/>
  <c r="G83" i="19"/>
  <c r="N4" i="14"/>
  <c r="N4" i="13"/>
  <c r="N4" i="11"/>
  <c r="N4" i="12"/>
  <c r="N4" i="10"/>
  <c r="N4" i="9"/>
  <c r="N4" i="8"/>
  <c r="N4" i="7"/>
  <c r="N4" i="6"/>
  <c r="N2" i="5" l="1"/>
  <c r="E63" i="19"/>
  <c r="N2" i="15"/>
  <c r="N2" i="13"/>
  <c r="N2" i="12"/>
  <c r="N2" i="14"/>
  <c r="N2" i="8"/>
  <c r="N2" i="7"/>
  <c r="N2" i="10"/>
  <c r="N2" i="9"/>
  <c r="N2" i="11"/>
  <c r="N2" i="6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O2" i="5" l="1"/>
  <c r="E64" i="19"/>
  <c r="O2" i="14"/>
  <c r="O2" i="10"/>
  <c r="O2" i="9"/>
  <c r="O2" i="13"/>
  <c r="O2" i="15"/>
  <c r="O2" i="11"/>
  <c r="O2" i="12"/>
  <c r="O2" i="6"/>
  <c r="O2" i="8"/>
  <c r="O2" i="7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Q4" i="11" l="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Q2" i="5" l="1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S4" i="5" l="1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S2" i="15" l="1"/>
  <c r="S2" i="5"/>
  <c r="E68" i="19"/>
  <c r="S2" i="11"/>
  <c r="S2" i="12"/>
  <c r="S2" i="8"/>
  <c r="S2" i="7"/>
  <c r="S2" i="14"/>
  <c r="S2" i="10"/>
  <c r="S2" i="9"/>
  <c r="S2" i="13"/>
  <c r="S2" i="6"/>
  <c r="G5" i="19" l="1"/>
  <c r="F34" i="7"/>
  <c r="F35" i="7" s="1"/>
  <c r="F46" i="7"/>
  <c r="F113" i="19" l="1"/>
  <c r="F39" i="7"/>
  <c r="F41" i="7" s="1"/>
  <c r="F114" i="19" l="1"/>
  <c r="F45" i="7"/>
  <c r="F47" i="7" s="1"/>
  <c r="G115" i="19" l="1"/>
  <c r="F52" i="7"/>
  <c r="F53" i="7" s="1"/>
  <c r="F90" i="7" l="1"/>
  <c r="G116" i="19"/>
  <c r="F33" i="8" l="1"/>
  <c r="F21" i="8"/>
  <c r="F23" i="8" s="1"/>
  <c r="G11" i="19"/>
  <c r="G128" i="19" l="1"/>
  <c r="F57" i="8"/>
  <c r="F60" i="8" s="1"/>
  <c r="F51" i="8"/>
  <c r="F78" i="8"/>
  <c r="F71" i="8"/>
  <c r="F64" i="8" l="1"/>
  <c r="G134" i="19"/>
  <c r="G13" i="19" l="1"/>
  <c r="F34" i="8"/>
  <c r="F35" i="8" s="1"/>
  <c r="F46" i="8"/>
  <c r="F130" i="19" l="1"/>
  <c r="F39" i="8"/>
  <c r="F41" i="8" s="1"/>
  <c r="F131" i="19" l="1"/>
  <c r="F45" i="8"/>
  <c r="F47" i="8" s="1"/>
  <c r="G132" i="19" l="1"/>
  <c r="F77" i="8"/>
  <c r="F52" i="8"/>
  <c r="F53" i="8" s="1"/>
  <c r="F70" i="8" l="1"/>
  <c r="G133" i="19"/>
  <c r="G28" i="19" l="1"/>
  <c r="F39" i="11"/>
  <c r="F43" i="11" s="1"/>
  <c r="G154" i="19" l="1"/>
  <c r="F47" i="11"/>
  <c r="F15" i="9" l="1"/>
  <c r="F17" i="9" s="1"/>
  <c r="G22" i="19"/>
  <c r="F20" i="16"/>
  <c r="C16" i="17" s="1"/>
  <c r="F41" i="16"/>
  <c r="C20" i="18" s="1"/>
  <c r="F21" i="9" l="1"/>
  <c r="G139" i="19"/>
  <c r="F63" i="7" l="1"/>
  <c r="F67" i="7" s="1"/>
  <c r="G9" i="19"/>
  <c r="G16" i="19" l="1"/>
  <c r="F21" i="13"/>
  <c r="F25" i="13" s="1"/>
  <c r="G118" i="19"/>
  <c r="F72" i="7"/>
  <c r="F22" i="9" l="1"/>
  <c r="F24" i="9" s="1"/>
  <c r="F42" i="9" s="1"/>
  <c r="F19" i="16"/>
  <c r="C13" i="17" s="1"/>
  <c r="F40" i="16"/>
  <c r="C17" i="18" s="1"/>
  <c r="G168" i="19"/>
  <c r="F21" i="15"/>
  <c r="G140" i="19" l="1"/>
  <c r="F85" i="11"/>
  <c r="F71" i="7"/>
  <c r="F73" i="7" s="1"/>
  <c r="G119" i="19" l="1"/>
  <c r="F85" i="7"/>
  <c r="F86" i="7" s="1"/>
  <c r="F92" i="7" s="1"/>
  <c r="F93" i="7" s="1"/>
  <c r="G121" i="19" l="1"/>
  <c r="F11" i="16" l="1"/>
  <c r="C5" i="17" s="1"/>
  <c r="F9" i="15"/>
  <c r="G122" i="19"/>
  <c r="F9" i="14"/>
  <c r="F111" i="7"/>
  <c r="E5" i="17" l="1"/>
  <c r="F5" i="17"/>
  <c r="G5" i="17" s="1"/>
  <c r="I5" i="17"/>
  <c r="H5" i="17" s="1"/>
  <c r="F34" i="9" l="1"/>
  <c r="F38" i="9" s="1"/>
  <c r="G18" i="19"/>
  <c r="G142" i="19" l="1"/>
  <c r="F43" i="9"/>
  <c r="F44" i="9" s="1"/>
  <c r="F24" i="10" s="1"/>
  <c r="F25" i="10" s="1"/>
  <c r="F26" i="11" l="1"/>
  <c r="F27" i="11" s="1"/>
  <c r="F48" i="11"/>
  <c r="F49" i="11" s="1"/>
  <c r="G143" i="19"/>
  <c r="F105" i="7"/>
  <c r="F106" i="7" s="1"/>
  <c r="F65" i="8"/>
  <c r="F66" i="8" s="1"/>
  <c r="F70" i="11"/>
  <c r="F71" i="11" s="1"/>
  <c r="F65" i="9"/>
  <c r="F66" i="9" s="1"/>
  <c r="F15" i="16" l="1"/>
  <c r="C9" i="17" s="1"/>
  <c r="F15" i="15"/>
  <c r="F88" i="11"/>
  <c r="G146" i="19"/>
  <c r="F36" i="16"/>
  <c r="C13" i="18" s="1"/>
  <c r="G158" i="19"/>
  <c r="F79" i="11"/>
  <c r="F92" i="11"/>
  <c r="F79" i="8"/>
  <c r="F80" i="8" s="1"/>
  <c r="F72" i="8"/>
  <c r="F73" i="8" s="1"/>
  <c r="F89" i="11"/>
  <c r="G135" i="19"/>
  <c r="G124" i="19"/>
  <c r="F86" i="11"/>
  <c r="F110" i="7"/>
  <c r="F112" i="7" s="1"/>
  <c r="F17" i="15"/>
  <c r="G149" i="19"/>
  <c r="F91" i="11"/>
  <c r="F37" i="16"/>
  <c r="C14" i="18" s="1"/>
  <c r="F16" i="16"/>
  <c r="C10" i="17" s="1"/>
  <c r="F78" i="11"/>
  <c r="F90" i="11"/>
  <c r="G155" i="19"/>
  <c r="G152" i="19"/>
  <c r="F87" i="11"/>
  <c r="F77" i="11"/>
  <c r="F13" i="16" l="1"/>
  <c r="C7" i="17" s="1"/>
  <c r="F11" i="14"/>
  <c r="F12" i="15"/>
  <c r="G136" i="19"/>
  <c r="F14" i="16"/>
  <c r="C8" i="17" s="1"/>
  <c r="G137" i="19"/>
  <c r="F13" i="15"/>
  <c r="F12" i="14"/>
  <c r="F12" i="16"/>
  <c r="C6" i="17" s="1"/>
  <c r="G125" i="19"/>
  <c r="F10" i="15"/>
  <c r="F10" i="14"/>
  <c r="F93" i="11"/>
  <c r="F13" i="14" l="1"/>
  <c r="F178" i="14" s="1"/>
  <c r="E8" i="17"/>
  <c r="E10" i="17"/>
  <c r="F10" i="17"/>
  <c r="G10" i="17" s="1"/>
  <c r="E9" i="17"/>
  <c r="F8" i="17"/>
  <c r="G8" i="17" s="1"/>
  <c r="E6" i="17"/>
  <c r="E7" i="17"/>
  <c r="I9" i="17"/>
  <c r="H9" i="17" s="1"/>
  <c r="I8" i="17"/>
  <c r="H8" i="17" s="1"/>
  <c r="I7" i="17"/>
  <c r="H7" i="17" s="1"/>
  <c r="I6" i="17"/>
  <c r="H6" i="17" s="1"/>
  <c r="I10" i="17"/>
  <c r="H10" i="17" s="1"/>
  <c r="F9" i="17"/>
  <c r="G9" i="17" s="1"/>
  <c r="F7" i="17"/>
  <c r="G7" i="17" s="1"/>
  <c r="F6" i="17"/>
  <c r="G6" i="17" s="1"/>
  <c r="G160" i="19"/>
  <c r="F80" i="11"/>
  <c r="F81" i="11" s="1"/>
  <c r="F166" i="14" l="1"/>
  <c r="F172" i="14"/>
  <c r="G169" i="19"/>
  <c r="F154" i="14"/>
  <c r="F160" i="14"/>
  <c r="F190" i="14"/>
  <c r="F196" i="14"/>
  <c r="F184" i="14"/>
  <c r="F202" i="14"/>
  <c r="F17" i="16"/>
  <c r="C11" i="17" s="1"/>
  <c r="F38" i="16"/>
  <c r="C15" i="18" s="1"/>
  <c r="G159" i="19"/>
  <c r="F18" i="15"/>
  <c r="I13" i="17" l="1"/>
  <c r="H13" i="17" s="1"/>
  <c r="F12" i="17"/>
  <c r="G12" i="17" s="1"/>
  <c r="E11" i="17"/>
  <c r="E12" i="17"/>
  <c r="F11" i="17"/>
  <c r="G11" i="17" s="1"/>
  <c r="I11" i="17"/>
  <c r="H11" i="17" s="1"/>
  <c r="I12" i="17"/>
  <c r="H12" i="17" s="1"/>
  <c r="E13" i="17"/>
  <c r="F13" i="17"/>
  <c r="G13" i="17" s="1"/>
  <c r="D14" i="17"/>
  <c r="C17" i="17" s="1"/>
  <c r="G40" i="19" l="1"/>
  <c r="F19" i="14"/>
  <c r="F22" i="14" s="1"/>
  <c r="G170" i="19" l="1"/>
  <c r="F98" i="14"/>
  <c r="F82" i="14"/>
  <c r="F91" i="14" s="1"/>
  <c r="F127" i="14" l="1"/>
  <c r="F129" i="14" s="1"/>
  <c r="G179" i="19"/>
  <c r="F145" i="14"/>
  <c r="F147" i="14" s="1"/>
  <c r="F121" i="14"/>
  <c r="F123" i="14" s="1"/>
  <c r="F139" i="14"/>
  <c r="F141" i="14" s="1"/>
  <c r="F133" i="14"/>
  <c r="F135" i="14" s="1"/>
  <c r="F115" i="14"/>
  <c r="F117" i="14" s="1"/>
  <c r="F97" i="14"/>
  <c r="F99" i="14" s="1"/>
  <c r="F103" i="14"/>
  <c r="F105" i="14" s="1"/>
  <c r="F109" i="14"/>
  <c r="F111" i="14" s="1"/>
  <c r="G186" i="19" l="1"/>
  <c r="F189" i="14"/>
  <c r="F191" i="14" s="1"/>
  <c r="F195" i="14"/>
  <c r="F197" i="14" s="1"/>
  <c r="G187" i="19"/>
  <c r="F177" i="14"/>
  <c r="F179" i="14" s="1"/>
  <c r="G184" i="19"/>
  <c r="G188" i="19"/>
  <c r="F201" i="14"/>
  <c r="F203" i="14" s="1"/>
  <c r="G185" i="19"/>
  <c r="F183" i="14"/>
  <c r="F185" i="14" s="1"/>
  <c r="F153" i="14"/>
  <c r="F155" i="14" s="1"/>
  <c r="G180" i="19"/>
  <c r="G183" i="19"/>
  <c r="F171" i="14"/>
  <c r="F173" i="14" s="1"/>
  <c r="G182" i="19"/>
  <c r="F165" i="14"/>
  <c r="F167" i="14" s="1"/>
  <c r="G181" i="19"/>
  <c r="F159" i="14"/>
  <c r="F161" i="14" s="1"/>
  <c r="G197" i="19" l="1"/>
  <c r="F35" i="16"/>
  <c r="C12" i="18" s="1"/>
  <c r="F27" i="16"/>
  <c r="C5" i="18" s="1"/>
  <c r="G189" i="19"/>
  <c r="F31" i="16"/>
  <c r="C9" i="18" s="1"/>
  <c r="G193" i="19"/>
  <c r="F34" i="16"/>
  <c r="G196" i="19"/>
  <c r="F29" i="16"/>
  <c r="C7" i="18" s="1"/>
  <c r="G191" i="19"/>
  <c r="G192" i="19"/>
  <c r="F30" i="16"/>
  <c r="C8" i="18" s="1"/>
  <c r="F28" i="16"/>
  <c r="C6" i="18" s="1"/>
  <c r="G190" i="19"/>
  <c r="G195" i="19"/>
  <c r="F33" i="16"/>
  <c r="F32" i="16"/>
  <c r="C10" i="18" s="1"/>
  <c r="G194" i="19"/>
  <c r="C11" i="18" l="1"/>
  <c r="E8" i="18"/>
  <c r="F6" i="18"/>
  <c r="G6" i="18" s="1"/>
  <c r="I9" i="18"/>
  <c r="H9" i="18" s="1"/>
  <c r="F7" i="18"/>
  <c r="G7" i="18" s="1"/>
  <c r="F9" i="18"/>
  <c r="G9" i="18" s="1"/>
  <c r="F10" i="18"/>
  <c r="G10" i="18" s="1"/>
  <c r="E6" i="18"/>
  <c r="F8" i="18"/>
  <c r="G8" i="18" s="1"/>
  <c r="E9" i="18"/>
  <c r="E5" i="18"/>
  <c r="F5" i="18"/>
  <c r="G5" i="18" s="1"/>
  <c r="E10" i="18"/>
  <c r="I10" i="18"/>
  <c r="H10" i="18" s="1"/>
  <c r="I8" i="18"/>
  <c r="H8" i="18" s="1"/>
  <c r="I6" i="18"/>
  <c r="H6" i="18" s="1"/>
  <c r="E7" i="18"/>
  <c r="I5" i="18"/>
  <c r="H5" i="18" s="1"/>
  <c r="I7" i="18"/>
  <c r="H7" i="18" s="1"/>
  <c r="I13" i="18"/>
  <c r="H13" i="18" s="1"/>
  <c r="E11" i="18"/>
  <c r="I15" i="18"/>
  <c r="H15" i="18" s="1"/>
  <c r="F17" i="18"/>
  <c r="G17" i="18" s="1"/>
  <c r="F14" i="18"/>
  <c r="G14" i="18" s="1"/>
  <c r="E12" i="18"/>
  <c r="I12" i="18"/>
  <c r="H12" i="18" s="1"/>
  <c r="D18" i="18"/>
  <c r="C21" i="18" s="1"/>
  <c r="F15" i="18"/>
  <c r="G15" i="18" s="1"/>
  <c r="I16" i="18"/>
  <c r="H16" i="18" s="1"/>
  <c r="F13" i="18"/>
  <c r="G13" i="18" s="1"/>
  <c r="E16" i="18"/>
  <c r="F11" i="18"/>
  <c r="G11" i="18" s="1"/>
  <c r="I17" i="18"/>
  <c r="H17" i="18" s="1"/>
  <c r="F12" i="18"/>
  <c r="G12" i="18" s="1"/>
  <c r="E17" i="18"/>
  <c r="E13" i="18"/>
  <c r="I14" i="18"/>
  <c r="H14" i="18" s="1"/>
  <c r="E15" i="18"/>
  <c r="I11" i="18"/>
  <c r="H11" i="18" s="1"/>
  <c r="E14" i="18"/>
  <c r="F16" i="18"/>
  <c r="G16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<sst xmlns="http://schemas.openxmlformats.org/spreadsheetml/2006/main" count="996" uniqueCount="374">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</sst>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  <numFmt numFmtId="178" formatCode="#,##0.000_);\(#,##0.000\);&quot;-  &quot;;&quot; &quot;@&quot; &quot;"/>
  </numFmts>
  <fonts count="44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09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  <xf numFmtId="178" fontId="12" fillId="8" borderId="1" xfId="18" applyNumberFormat="1" applyFont="1" applyFill="1" applyProtection="1">
      <alignment vertical="top"/>
      <protection locked="0"/>
    </xf>
    <xf numFmtId="175" fontId="12" fillId="8" borderId="1" xfId="18" applyNumberFormat="1" applyFont="1" applyFill="1" applyProtection="1">
      <alignment vertical="top"/>
      <protection locked="0"/>
    </xf>
    <xf numFmtId="176" fontId="25" fillId="0" borderId="4" xfId="0" applyNumberFormat="1" applyFont="1" applyFill="1" applyBorder="1" applyAlignment="1">
      <alignment vertical="center"/>
    </xf>
    <xf numFmtId="175" fontId="25" fillId="0" borderId="4" xfId="0" applyNumberFormat="1" applyFont="1" applyFill="1" applyBorder="1" applyAlignment="1">
      <alignment vertical="center"/>
    </xf>
    <xf numFmtId="178" fontId="9" fillId="0" borderId="0" xfId="20" applyNumberFormat="1" applyFont="1">
      <alignment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84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numFmt numFmtId="17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154.64660270152598</c:v>
                </c:pt>
                <c:pt idx="2">
                  <c:v>155.41096806728595</c:v>
                </c:pt>
                <c:pt idx="3">
                  <c:v>155.41096806728595</c:v>
                </c:pt>
                <c:pt idx="4">
                  <c:v>154.30861465359263</c:v>
                </c:pt>
                <c:pt idx="5">
                  <c:v>154.30861465359263</c:v>
                </c:pt>
                <c:pt idx="6">
                  <c:v>156.88921216217088</c:v>
                </c:pt>
                <c:pt idx="7">
                  <c:v>158.26414073005688</c:v>
                </c:pt>
                <c:pt idx="8">
                  <c:v>160.79804953697618</c:v>
                </c:pt>
                <c:pt idx="9">
                  <c:v>163.43267479864329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154.64660270152598</c:v>
                </c:pt>
                <c:pt idx="10">
                  <c:v>181.99725797067902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4.8100164116579895</c:v>
                </c:pt>
                <c:pt idx="2">
                  <c:v>0</c:v>
                </c:pt>
                <c:pt idx="3">
                  <c:v>2.7594017640408617</c:v>
                </c:pt>
                <c:pt idx="4">
                  <c:v>0</c:v>
                </c:pt>
                <c:pt idx="5">
                  <c:v>2.5805975085782618</c:v>
                </c:pt>
                <c:pt idx="6">
                  <c:v>1.374928567885999</c:v>
                </c:pt>
                <c:pt idx="7">
                  <c:v>2.5339088069193094</c:v>
                </c:pt>
                <c:pt idx="8">
                  <c:v>2.6346252616671251</c:v>
                </c:pt>
                <c:pt idx="9">
                  <c:v>18.564583172035729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4.0456510458980146</c:v>
                </c:pt>
                <c:pt idx="3">
                  <c:v>0</c:v>
                </c:pt>
                <c:pt idx="4">
                  <c:v>3.861755177734195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180"/>
          <c:min val="1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154.32913108969743</c:v>
                </c:pt>
                <c:pt idx="2">
                  <c:v>154.32913108969743</c:v>
                </c:pt>
                <c:pt idx="3">
                  <c:v>154.32913108969743</c:v>
                </c:pt>
                <c:pt idx="4">
                  <c:v>154.27871136459066</c:v>
                </c:pt>
                <c:pt idx="5">
                  <c:v>154.25720813756678</c:v>
                </c:pt>
                <c:pt idx="6">
                  <c:v>154.12381701444824</c:v>
                </c:pt>
                <c:pt idx="7">
                  <c:v>154.0954506711391</c:v>
                </c:pt>
                <c:pt idx="8">
                  <c:v>154.0954506711391</c:v>
                </c:pt>
                <c:pt idx="9">
                  <c:v>154.3086146535926</c:v>
                </c:pt>
                <c:pt idx="10">
                  <c:v>156.88921216217085</c:v>
                </c:pt>
                <c:pt idx="11">
                  <c:v>158.26414073005685</c:v>
                </c:pt>
                <c:pt idx="12">
                  <c:v>160.79804953697615</c:v>
                </c:pt>
                <c:pt idx="13">
                  <c:v>163.43267479864329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154.64660270152598</c:v>
                </c:pt>
                <c:pt idx="14">
                  <c:v>181.99725797067902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0.21316398245349982</c:v>
                </c:pt>
                <c:pt idx="9">
                  <c:v>2.5805975085782618</c:v>
                </c:pt>
                <c:pt idx="10">
                  <c:v>1.374928567885999</c:v>
                </c:pt>
                <c:pt idx="11">
                  <c:v>2.5339088069193094</c:v>
                </c:pt>
                <c:pt idx="12">
                  <c:v>2.6346252616671251</c:v>
                </c:pt>
                <c:pt idx="13">
                  <c:v>18.564583172035729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0.3174716118285571</c:v>
                </c:pt>
                <c:pt idx="2">
                  <c:v>0</c:v>
                </c:pt>
                <c:pt idx="3">
                  <c:v>0</c:v>
                </c:pt>
                <c:pt idx="4">
                  <c:v>5.0419725106761432E-2</c:v>
                </c:pt>
                <c:pt idx="5">
                  <c:v>2.1503227023874718E-2</c:v>
                </c:pt>
                <c:pt idx="6">
                  <c:v>0.13339112311854368</c:v>
                </c:pt>
                <c:pt idx="7">
                  <c:v>2.8366343309121193E-2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185"/>
          <c:min val="1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2</xdr:row>
      <xdr:rowOff>5897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11770</xdr:rowOff>
    </xdr:from>
    <xdr:to>
      <xdr:col>42</xdr:col>
      <xdr:colOff>440531</xdr:colOff>
      <xdr:row>36</xdr:row>
      <xdr:rowOff>25241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83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.199999999999999" x14ac:dyDescent="0.2"/>
  <cols>
    <col min="1" max="12" width="9.28515625" customWidth="1"/>
    <col min="13" max="13" width="9.140625" hidden="1" customWidth="1"/>
    <col min="14" max="16384" width="9.14062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93" sqref="F93"/>
    </sheetView>
  </sheetViews>
  <sheetFormatPr defaultColWidth="0" defaultRowHeight="13.8" outlineLevelRow="1" x14ac:dyDescent="0.2"/>
  <cols>
    <col min="1" max="4" width="1.42578125" style="70" customWidth="1"/>
    <col min="5" max="5" width="52.14062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x14ac:dyDescent="0.2">
      <c r="A9" s="69" t="s">
        <v>145</v>
      </c>
    </row>
    <row r="10" spans="1:19" outlineLevel="1" x14ac:dyDescent="0.2">
      <c r="B10" s="69" t="s">
        <v>146</v>
      </c>
    </row>
    <row r="11" spans="1:19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9.6920751807261958</v>
      </c>
      <c r="G11" s="88" t="str">
        <f xml:space="preserve">  InpS!G$48</f>
        <v>£m</v>
      </c>
      <c r="M11" s="89"/>
    </row>
    <row r="12" spans="1:19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outlineLevel="1" x14ac:dyDescent="0.2">
      <c r="E13" s="70" t="s">
        <v>146</v>
      </c>
      <c r="F13" s="89">
        <f xml:space="preserve">  $F11 * $F12</f>
        <v>11.442786665874163</v>
      </c>
      <c r="G13" s="70" t="s">
        <v>29</v>
      </c>
      <c r="M13" s="89"/>
    </row>
    <row r="14" spans="1:19" outlineLevel="1" x14ac:dyDescent="0.2"/>
    <row r="15" spans="1:19" outlineLevel="1" x14ac:dyDescent="0.2"/>
    <row r="16" spans="1:19" outlineLevel="1" x14ac:dyDescent="0.2">
      <c r="B16" s="69" t="s">
        <v>147</v>
      </c>
    </row>
    <row r="17" spans="1:13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11.442786665874163</v>
      </c>
      <c r="G18" s="89" t="str">
        <f t="shared" si="0"/>
        <v>£m</v>
      </c>
      <c r="M18" s="89"/>
    </row>
    <row r="19" spans="1:13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709.59974585813677</v>
      </c>
      <c r="G19" s="72" t="str">
        <f xml:space="preserve">  'Cost to serve'!G$17</f>
        <v>000 customers</v>
      </c>
      <c r="M19" s="73"/>
    </row>
    <row r="20" spans="1:13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outlineLevel="1" x14ac:dyDescent="0.2">
      <c r="E21" s="70" t="s">
        <v>147</v>
      </c>
      <c r="F21" s="89">
        <f xml:space="preserve">  ( $F17 - $F18 ) / $F19 * $F20</f>
        <v>-16.125691606662166</v>
      </c>
      <c r="G21" s="70" t="s">
        <v>50</v>
      </c>
      <c r="M21" s="89"/>
    </row>
    <row r="22" spans="1:13" outlineLevel="1" x14ac:dyDescent="0.2"/>
    <row r="23" spans="1:13" outlineLevel="1" x14ac:dyDescent="0.2"/>
    <row r="24" spans="1:13" outlineLevel="1" x14ac:dyDescent="0.2">
      <c r="B24" s="69" t="s">
        <v>145</v>
      </c>
    </row>
    <row r="25" spans="1:13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-16.125691606662166</v>
      </c>
      <c r="G25" s="89" t="str">
        <f t="shared" si="1"/>
        <v>£ / customer</v>
      </c>
      <c r="M25" s="89"/>
    </row>
    <row r="26" spans="1:13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3.9041219808896542E-2</v>
      </c>
      <c r="G26" s="90" t="str">
        <f xml:space="preserve">  Wholesale!G$44</f>
        <v>factor</v>
      </c>
      <c r="M26" s="91"/>
    </row>
    <row r="27" spans="1:13" outlineLevel="1" x14ac:dyDescent="0.2">
      <c r="E27" s="70" t="s">
        <v>145</v>
      </c>
      <c r="F27" s="89">
        <f xml:space="preserve">  $F25 * $F26</f>
        <v>-0.62956667058617566</v>
      </c>
      <c r="G27" s="70" t="s">
        <v>50</v>
      </c>
      <c r="M27" s="89"/>
    </row>
    <row r="28" spans="1:13" outlineLevel="1" x14ac:dyDescent="0.2"/>
    <row r="31" spans="1:13" x14ac:dyDescent="0.2">
      <c r="A31" s="69" t="s">
        <v>148</v>
      </c>
    </row>
    <row r="32" spans="1:13" outlineLevel="1" x14ac:dyDescent="0.2">
      <c r="B32" s="69" t="s">
        <v>149</v>
      </c>
    </row>
    <row r="33" spans="1:13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1.2070934995444227</v>
      </c>
      <c r="G33" s="88" t="str">
        <f xml:space="preserve">  InpS!G$50</f>
        <v>£m</v>
      </c>
      <c r="M33" s="89"/>
    </row>
    <row r="34" spans="1:13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outlineLevel="1" x14ac:dyDescent="0.2">
      <c r="E35" s="70" t="s">
        <v>149</v>
      </c>
      <c r="F35" s="89">
        <f xml:space="preserve">  $F33 * $F34</f>
        <v>1.4251347769689269</v>
      </c>
      <c r="G35" s="70" t="s">
        <v>29</v>
      </c>
      <c r="M35" s="89"/>
    </row>
    <row r="36" spans="1:13" outlineLevel="1" x14ac:dyDescent="0.2"/>
    <row r="37" spans="1:13" outlineLevel="1" x14ac:dyDescent="0.2"/>
    <row r="38" spans="1:13" outlineLevel="1" x14ac:dyDescent="0.2">
      <c r="B38" s="69" t="s">
        <v>150</v>
      </c>
    </row>
    <row r="39" spans="1:13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6.6959650493472562</v>
      </c>
      <c r="G39" s="88" t="str">
        <f xml:space="preserve">  InpS!G$51</f>
        <v>£m</v>
      </c>
      <c r="M39" s="89"/>
    </row>
    <row r="40" spans="1:13" outlineLevel="1" x14ac:dyDescent="0.2">
      <c r="E40" s="89" t="str">
        <f t="shared" ref="E40:G40" si="2" xml:space="preserve">  E$35</f>
        <v>Tax PR19</v>
      </c>
      <c r="F40" s="89">
        <f t="shared" si="2"/>
        <v>1.4251347769689269</v>
      </c>
      <c r="G40" s="89" t="str">
        <f t="shared" si="2"/>
        <v>£m</v>
      </c>
      <c r="M40" s="89"/>
    </row>
    <row r="41" spans="1:13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709.59974585813677</v>
      </c>
      <c r="G41" s="72" t="str">
        <f xml:space="preserve">  'Cost to serve'!G$17</f>
        <v>000 customers</v>
      </c>
      <c r="M41" s="73"/>
    </row>
    <row r="42" spans="1:13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outlineLevel="1" x14ac:dyDescent="0.2">
      <c r="E43" s="70" t="s">
        <v>150</v>
      </c>
      <c r="F43" s="89">
        <f xml:space="preserve">  ( $F39 - $F40 ) / $F41 * $F42</f>
        <v>7.427891995654794</v>
      </c>
      <c r="G43" s="70" t="s">
        <v>50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148</v>
      </c>
    </row>
    <row r="47" spans="1:13" outlineLevel="1" x14ac:dyDescent="0.2">
      <c r="E47" s="89" t="str">
        <f t="shared" ref="E47:G47" si="3" xml:space="preserve">  E$43</f>
        <v>Pre-adjustment tax</v>
      </c>
      <c r="F47" s="89">
        <f t="shared" si="3"/>
        <v>7.427891995654794</v>
      </c>
      <c r="G47" s="89" t="str">
        <f t="shared" si="3"/>
        <v>£ / customer</v>
      </c>
      <c r="M47" s="89"/>
    </row>
    <row r="48" spans="1:13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3.9041219808896542E-2</v>
      </c>
      <c r="G48" s="90" t="str">
        <f xml:space="preserve">  Wholesale!G$44</f>
        <v>factor</v>
      </c>
      <c r="M48" s="91"/>
    </row>
    <row r="49" spans="1:13" outlineLevel="1" x14ac:dyDescent="0.2">
      <c r="E49" s="70" t="s">
        <v>148</v>
      </c>
      <c r="F49" s="89">
        <f xml:space="preserve">  $F47 * $F48</f>
        <v>0.289993964119102</v>
      </c>
      <c r="G49" s="70" t="s">
        <v>50</v>
      </c>
      <c r="M49" s="89"/>
    </row>
    <row r="50" spans="1:13" outlineLevel="1" x14ac:dyDescent="0.2"/>
    <row r="53" spans="1:13" x14ac:dyDescent="0.2">
      <c r="A53" s="69" t="s">
        <v>151</v>
      </c>
    </row>
    <row r="54" spans="1:13" outlineLevel="1" x14ac:dyDescent="0.2">
      <c r="B54" s="69" t="s">
        <v>152</v>
      </c>
    </row>
    <row r="55" spans="1:13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0</v>
      </c>
      <c r="G55" s="88" t="str">
        <f xml:space="preserve">  InpS!G$52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152</v>
      </c>
      <c r="F57" s="89">
        <f xml:space="preserve">  $F55 * $F56</f>
        <v>0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153</v>
      </c>
    </row>
    <row r="61" spans="1:13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outlineLevel="1" x14ac:dyDescent="0.2">
      <c r="E62" s="89" t="str">
        <f t="shared" ref="E62:G62" si="4" xml:space="preserve">  E$57</f>
        <v>Revenue profiling PR19</v>
      </c>
      <c r="F62" s="89">
        <f t="shared" si="4"/>
        <v>0</v>
      </c>
      <c r="G62" s="89" t="str">
        <f t="shared" si="4"/>
        <v>£m</v>
      </c>
      <c r="M62" s="89"/>
    </row>
    <row r="63" spans="1:13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709.59974585813677</v>
      </c>
      <c r="G63" s="72" t="str">
        <f xml:space="preserve">  'Cost to serve'!G$17</f>
        <v>000 customers</v>
      </c>
      <c r="M63" s="73"/>
    </row>
    <row r="64" spans="1:13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outlineLevel="1" x14ac:dyDescent="0.2">
      <c r="E65" s="70" t="s">
        <v>153</v>
      </c>
      <c r="F65" s="89">
        <f xml:space="preserve">  ( $F61 - $F62 ) / $F63 * $F64</f>
        <v>0</v>
      </c>
      <c r="G65" s="70" t="s">
        <v>50</v>
      </c>
      <c r="M65" s="89"/>
    </row>
    <row r="66" spans="1:13" outlineLevel="1" x14ac:dyDescent="0.2"/>
    <row r="67" spans="1:13" outlineLevel="1" x14ac:dyDescent="0.2"/>
    <row r="68" spans="1:13" outlineLevel="1" x14ac:dyDescent="0.2">
      <c r="B68" s="69" t="s">
        <v>151</v>
      </c>
    </row>
    <row r="69" spans="1:13" outlineLevel="1" x14ac:dyDescent="0.2">
      <c r="E69" s="89" t="str">
        <f t="shared" ref="E69:G69" si="5" xml:space="preserve">  E$65</f>
        <v>Pre-adjustment revenue profiling</v>
      </c>
      <c r="F69" s="89">
        <f t="shared" si="5"/>
        <v>0</v>
      </c>
      <c r="G69" s="89" t="str">
        <f t="shared" si="5"/>
        <v>£ / customer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3.9041219808896542E-2</v>
      </c>
      <c r="G70" s="90" t="str">
        <f xml:space="preserve">  Wholesale!G$44</f>
        <v>factor</v>
      </c>
      <c r="M70" s="91"/>
    </row>
    <row r="71" spans="1:13" outlineLevel="1" x14ac:dyDescent="0.2">
      <c r="E71" s="70" t="s">
        <v>151</v>
      </c>
      <c r="F71" s="89">
        <f xml:space="preserve">  $F69 * $F70</f>
        <v>0</v>
      </c>
      <c r="G71" s="70" t="s">
        <v>50</v>
      </c>
      <c r="M71" s="89"/>
    </row>
    <row r="72" spans="1:13" outlineLevel="1" x14ac:dyDescent="0.2"/>
    <row r="75" spans="1:13" x14ac:dyDescent="0.2">
      <c r="A75" s="69" t="s">
        <v>154</v>
      </c>
    </row>
    <row r="76" spans="1:13" outlineLevel="1" x14ac:dyDescent="0.2">
      <c r="B76" s="69" t="s">
        <v>55</v>
      </c>
    </row>
    <row r="77" spans="1:13" outlineLevel="1" x14ac:dyDescent="0.2">
      <c r="E77" s="89" t="str">
        <f t="shared" ref="E77:G77" si="6" xml:space="preserve">  E$27</f>
        <v>Pension deficit repair allowance</v>
      </c>
      <c r="F77" s="89">
        <f t="shared" si="6"/>
        <v>-0.62956667058617566</v>
      </c>
      <c r="G77" s="89" t="str">
        <f t="shared" si="6"/>
        <v>£ / customer</v>
      </c>
      <c r="M77" s="89"/>
    </row>
    <row r="78" spans="1:13" outlineLevel="1" x14ac:dyDescent="0.2">
      <c r="E78" s="89" t="str">
        <f t="shared" ref="E78:G78" si="7" xml:space="preserve">  E$49</f>
        <v>Tax</v>
      </c>
      <c r="F78" s="89">
        <f t="shared" si="7"/>
        <v>0.289993964119102</v>
      </c>
      <c r="G78" s="89" t="str">
        <f t="shared" si="7"/>
        <v>£ / customer</v>
      </c>
      <c r="M78" s="89"/>
    </row>
    <row r="79" spans="1:13" outlineLevel="1" x14ac:dyDescent="0.2">
      <c r="E79" s="89" t="str">
        <f t="shared" ref="E79:G79" si="8" xml:space="preserve">  E$71</f>
        <v>Revenue profiling</v>
      </c>
      <c r="F79" s="89">
        <f t="shared" si="8"/>
        <v>0</v>
      </c>
      <c r="G79" s="89" t="str">
        <f t="shared" si="8"/>
        <v>£ / customer</v>
      </c>
      <c r="M79" s="89"/>
    </row>
    <row r="80" spans="1:13" outlineLevel="1" x14ac:dyDescent="0.2">
      <c r="E80" s="89" t="str">
        <f t="shared" ref="E80:G80" si="9" xml:space="preserve">  E$93</f>
        <v>Other</v>
      </c>
      <c r="F80" s="89">
        <f t="shared" si="9"/>
        <v>2.8734815133863831</v>
      </c>
      <c r="G80" s="89" t="str">
        <f t="shared" si="9"/>
        <v>£ / customer</v>
      </c>
      <c r="M80" s="89"/>
    </row>
    <row r="81" spans="1:13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2.5339088069193094</v>
      </c>
      <c r="G81" s="75" t="s">
        <v>50</v>
      </c>
      <c r="M81" s="89"/>
    </row>
    <row r="82" spans="1:13" outlineLevel="1" x14ac:dyDescent="0.2"/>
    <row r="83" spans="1:13" outlineLevel="1" x14ac:dyDescent="0.2"/>
    <row r="84" spans="1:13" outlineLevel="1" x14ac:dyDescent="0.2">
      <c r="B84" s="69" t="s">
        <v>154</v>
      </c>
    </row>
    <row r="85" spans="1:13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6.1514468354502121</v>
      </c>
      <c r="G85" s="88" t="str">
        <f xml:space="preserve">  Wholesale!G$24</f>
        <v>£ / customer</v>
      </c>
      <c r="M85" s="89"/>
    </row>
    <row r="86" spans="1:13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0.76436536575997505</v>
      </c>
      <c r="G86" s="88" t="str">
        <f xml:space="preserve">  Totex!G$106</f>
        <v>£ / customer</v>
      </c>
      <c r="M86" s="89"/>
    </row>
    <row r="87" spans="1:13" outlineLevel="1" x14ac:dyDescent="0.2">
      <c r="E87" s="89" t="str">
        <f t="shared" ref="E87:G87" si="10" xml:space="preserve">  E$27</f>
        <v>Pension deficit repair allowance</v>
      </c>
      <c r="F87" s="89">
        <f t="shared" si="10"/>
        <v>-0.62956667058617566</v>
      </c>
      <c r="G87" s="89" t="str">
        <f t="shared" si="10"/>
        <v>£ / customer</v>
      </c>
      <c r="M87" s="89"/>
    </row>
    <row r="88" spans="1:13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2.5805975085782618</v>
      </c>
      <c r="G88" s="88" t="str">
        <f xml:space="preserve">  Wholesale!G$66</f>
        <v>£ / customer</v>
      </c>
      <c r="M88" s="89"/>
    </row>
    <row r="89" spans="1:13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-1.1023534136933331</v>
      </c>
      <c r="G89" s="88" t="str">
        <f xml:space="preserve">  RCV!G$66</f>
        <v>£ / customer</v>
      </c>
      <c r="M89" s="89"/>
    </row>
    <row r="90" spans="1:13" outlineLevel="1" x14ac:dyDescent="0.2">
      <c r="E90" s="89" t="str">
        <f t="shared" ref="E90:G90" si="11" xml:space="preserve">  E$49</f>
        <v>Tax</v>
      </c>
      <c r="F90" s="89">
        <f t="shared" si="11"/>
        <v>0.289993964119102</v>
      </c>
      <c r="G90" s="89" t="str">
        <f t="shared" si="11"/>
        <v>£ / customer</v>
      </c>
      <c r="M90" s="89"/>
    </row>
    <row r="91" spans="1:13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1.374928567885999</v>
      </c>
      <c r="G91" s="88" t="str">
        <f xml:space="preserve">  'Wholesale reconciliation'!G$25</f>
        <v>£ / customer</v>
      </c>
      <c r="M91" s="89"/>
    </row>
    <row r="92" spans="1:13" outlineLevel="1" x14ac:dyDescent="0.2">
      <c r="E92" s="89" t="str">
        <f t="shared" ref="E92:G92" si="12" xml:space="preserve">  E$71</f>
        <v>Revenue profiling</v>
      </c>
      <c r="F92" s="89">
        <f t="shared" si="12"/>
        <v>0</v>
      </c>
      <c r="G92" s="89" t="str">
        <f t="shared" si="12"/>
        <v>£ / customer</v>
      </c>
      <c r="M92" s="89"/>
    </row>
    <row r="93" spans="1:13" outlineLevel="1" x14ac:dyDescent="0.2">
      <c r="E93" s="70" t="s">
        <v>154</v>
      </c>
      <c r="F93" s="89">
        <f xml:space="preserve">  $F85 - ( $F86 + $F87 + $F88 + $F89 + $F90 + $F91 + $F92 )</f>
        <v>2.8734815133863831</v>
      </c>
      <c r="G93" s="70" t="s">
        <v>50</v>
      </c>
      <c r="M93" s="89"/>
    </row>
    <row r="94" spans="1:13" outlineLevel="1" x14ac:dyDescent="0.2"/>
    <row r="97" spans="2:2" x14ac:dyDescent="0.2">
      <c r="B97" s="70" t="s">
        <v>98</v>
      </c>
    </row>
  </sheetData>
  <conditionalFormatting sqref="F2">
    <cfRule type="cellIs" dxfId="40" priority="3" stopIfTrue="1" operator="equal">
      <formula>""</formula>
    </cfRule>
  </conditionalFormatting>
  <conditionalFormatting sqref="F2:F3">
    <cfRule type="cellIs" dxfId="39" priority="1" stopIfTrue="1" operator="notEqual">
      <formula>0</formula>
    </cfRule>
  </conditionalFormatting>
  <conditionalFormatting sqref="J3:S3">
    <cfRule type="cellIs" dxfId="38" priority="9" operator="equal">
      <formula>"PPA ext."</formula>
    </cfRule>
    <cfRule type="cellIs" dxfId="37" priority="10" operator="equal">
      <formula>"Delay"</formula>
    </cfRule>
    <cfRule type="cellIs" dxfId="36" priority="11" operator="equal">
      <formula>"Fin Close"</formula>
    </cfRule>
    <cfRule type="cellIs" dxfId="35" priority="12" stopIfTrue="1" operator="equal">
      <formula>"Construction"</formula>
    </cfRule>
    <cfRule type="cellIs" dxfId="34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11" activePane="bottomRight" state="frozen"/>
      <selection pane="topRight"/>
      <selection pane="bottomLeft"/>
      <selection pane="bottomRight" activeCell="F29" sqref="F29"/>
    </sheetView>
  </sheetViews>
  <sheetFormatPr defaultColWidth="0" defaultRowHeight="13.8" x14ac:dyDescent="0.2"/>
  <cols>
    <col min="1" max="4" width="1.42578125" style="70" customWidth="1"/>
    <col min="5" max="5" width="42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375.05899457663082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339.90922090672399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714.96821548335481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440.95750081483828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268.64224504329849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709.59974585813677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12.797119716546492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t="shared" si="0"/>
        <v>714.96821548335481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17.898865207448402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14.57055961846485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709.59974585813677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20.533490469115527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t="shared" si="2"/>
        <v>20.533490469115527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t="shared" si="3"/>
        <v>17.898865207448402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2.6346252616671251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F2">
    <cfRule type="cellIs" dxfId="33" priority="3" stopIfTrue="1" operator="equal">
      <formula>""</formula>
    </cfRule>
  </conditionalFormatting>
  <conditionalFormatting sqref="F2:F3">
    <cfRule type="cellIs" dxfId="32" priority="1" stopIfTrue="1" operator="notEqual">
      <formula>0</formula>
    </cfRule>
  </conditionalFormatting>
  <conditionalFormatting sqref="J3:S3">
    <cfRule type="cellIs" dxfId="31" priority="9" operator="equal">
      <formula>"PPA ext."</formula>
    </cfRule>
    <cfRule type="cellIs" dxfId="30" priority="10" operator="equal">
      <formula>"Delay"</formula>
    </cfRule>
    <cfRule type="cellIs" dxfId="29" priority="11" operator="equal">
      <formula>"Fin Close"</formula>
    </cfRule>
    <cfRule type="cellIs" dxfId="28" priority="12" stopIfTrue="1" operator="equal">
      <formula>"Construction"</formula>
    </cfRule>
    <cfRule type="cellIs" dxfId="27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7" activePane="bottomRight" state="frozen"/>
      <selection pane="topRight"/>
      <selection pane="bottomLeft"/>
      <selection pane="bottomRight" activeCell="F9" sqref="F9"/>
    </sheetView>
  </sheetViews>
  <sheetFormatPr defaultColWidth="0" defaultRowHeight="13.8" x14ac:dyDescent="0.2"/>
  <cols>
    <col min="1" max="4" width="1.42578125" style="70" customWidth="1"/>
    <col min="5" max="5" width="45.2851562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0.78238737533491653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714.96821548335481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1.0942967231151429E-3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0.79371317403933228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709.59974585813677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1.1185364406796328E-3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765.87456609774961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t="shared" si="0"/>
        <v>1.1185364406796328E-3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1.0942967231151429E-3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18.564583172035729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26" priority="3" stopIfTrue="1" operator="equal">
      <formula>""</formula>
    </cfRule>
  </conditionalFormatting>
  <conditionalFormatting sqref="F2:F3">
    <cfRule type="cellIs" dxfId="25" priority="1" stopIfTrue="1" operator="notEqual">
      <formula>0</formula>
    </cfRule>
  </conditionalFormatting>
  <conditionalFormatting sqref="J3:S3">
    <cfRule type="cellIs" dxfId="24" priority="9" operator="equal">
      <formula>"PPA ext."</formula>
    </cfRule>
    <cfRule type="cellIs" dxfId="23" priority="10" operator="equal">
      <formula>"Delay"</formula>
    </cfRule>
    <cfRule type="cellIs" dxfId="22" priority="11" operator="equal">
      <formula>"Fin Close"</formula>
    </cfRule>
    <cfRule type="cellIs" dxfId="21" priority="12" stopIfTrue="1" operator="equal">
      <formula>"Construction"</formula>
    </cfRule>
    <cfRule type="cellIs" dxfId="20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" sqref="F2"/>
    </sheetView>
  </sheetViews>
  <sheetFormatPr defaultColWidth="0" defaultRowHeight="13.8" outlineLevelRow="1" x14ac:dyDescent="0.2"/>
  <cols>
    <col min="1" max="4" width="1.42578125" style="70" customWidth="1"/>
    <col min="5" max="5" width="46.28515625" style="70" bestFit="1" customWidth="1"/>
    <col min="6" max="6" width="18.7109375" style="70" bestFit="1" customWidth="1"/>
    <col min="7" max="7" width="14.85546875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4.8100164116579895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-4.0456510458980146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2.7594017640408617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-3.861755177734195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-0.33798804793335835</v>
      </c>
      <c r="G13" s="70" t="s">
        <v>50</v>
      </c>
      <c r="M13" s="89"/>
    </row>
    <row r="17" spans="1:13" x14ac:dyDescent="0.2">
      <c r="A17" s="69" t="s">
        <v>165</v>
      </c>
    </row>
    <row r="18" spans="1:13" outlineLevel="1" x14ac:dyDescent="0.2">
      <c r="B18" s="69" t="s">
        <v>166</v>
      </c>
    </row>
    <row r="19" spans="1:13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591.28303298629646</v>
      </c>
      <c r="G19" s="88" t="str">
        <f xml:space="preserve">  InpS!G$72</f>
        <v>£m</v>
      </c>
      <c r="M19" s="89"/>
    </row>
    <row r="20" spans="1:13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410.32218817829272</v>
      </c>
      <c r="G20" s="88" t="str">
        <f xml:space="preserve">  InpS!G$71</f>
        <v>£m</v>
      </c>
      <c r="M20" s="89"/>
    </row>
    <row r="21" spans="1:13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outlineLevel="1" x14ac:dyDescent="0.2">
      <c r="E22" s="70" t="s">
        <v>166</v>
      </c>
      <c r="F22" s="89">
        <f xml:space="preserve">  $F19 - ( $F20 * $F21 )</f>
        <v>106.8429955280771</v>
      </c>
      <c r="G22" s="70" t="s">
        <v>29</v>
      </c>
      <c r="M22" s="89"/>
    </row>
    <row r="23" spans="1:13" outlineLevel="1" x14ac:dyDescent="0.2"/>
    <row r="24" spans="1:13" outlineLevel="1" x14ac:dyDescent="0.2"/>
    <row r="25" spans="1:13" outlineLevel="1" x14ac:dyDescent="0.2">
      <c r="B25" s="69" t="s">
        <v>167</v>
      </c>
    </row>
    <row r="26" spans="1:13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0</v>
      </c>
      <c r="G26" s="88" t="str">
        <f xml:space="preserve">  InpS!G$74</f>
        <v>£m</v>
      </c>
      <c r="M26" s="89"/>
    </row>
    <row r="27" spans="1:13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0</v>
      </c>
      <c r="G27" s="88" t="str">
        <f xml:space="preserve">  InpS!G$73</f>
        <v>£m</v>
      </c>
      <c r="M27" s="89"/>
    </row>
    <row r="28" spans="1:13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outlineLevel="1" x14ac:dyDescent="0.2">
      <c r="E29" s="70" t="s">
        <v>167</v>
      </c>
      <c r="F29" s="89">
        <f xml:space="preserve">  $F26 - ( $F27 * $F28 )</f>
        <v>0</v>
      </c>
      <c r="G29" s="70" t="s">
        <v>29</v>
      </c>
      <c r="M29" s="89"/>
    </row>
    <row r="30" spans="1:13" outlineLevel="1" x14ac:dyDescent="0.2"/>
    <row r="31" spans="1:13" outlineLevel="1" x14ac:dyDescent="0.2"/>
    <row r="32" spans="1:13" outlineLevel="1" x14ac:dyDescent="0.2">
      <c r="B32" s="69" t="s">
        <v>168</v>
      </c>
    </row>
    <row r="33" spans="1:13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0</v>
      </c>
      <c r="G33" s="88" t="str">
        <f xml:space="preserve">  InpS!G$76</f>
        <v>£m</v>
      </c>
      <c r="M33" s="89"/>
    </row>
    <row r="34" spans="1:13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0</v>
      </c>
      <c r="G34" s="88" t="str">
        <f xml:space="preserve">  InpS!G$75</f>
        <v>£m</v>
      </c>
      <c r="M34" s="89"/>
    </row>
    <row r="35" spans="1:13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outlineLevel="1" x14ac:dyDescent="0.2">
      <c r="E36" s="70" t="s">
        <v>168</v>
      </c>
      <c r="F36" s="89">
        <f xml:space="preserve">  $F33 - ( $F34 * $F35 )</f>
        <v>0</v>
      </c>
      <c r="G36" s="70" t="s">
        <v>29</v>
      </c>
      <c r="M36" s="89"/>
    </row>
    <row r="37" spans="1:13" outlineLevel="1" x14ac:dyDescent="0.2"/>
    <row r="38" spans="1:13" outlineLevel="1" x14ac:dyDescent="0.2"/>
    <row r="39" spans="1:13" outlineLevel="1" x14ac:dyDescent="0.2">
      <c r="B39" s="69" t="s">
        <v>169</v>
      </c>
    </row>
    <row r="40" spans="1:13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19.179636971849003</v>
      </c>
      <c r="G40" s="88" t="str">
        <f xml:space="preserve">  InpS!G$78</f>
        <v>£m</v>
      </c>
      <c r="M40" s="89"/>
    </row>
    <row r="41" spans="1:13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1.8729</v>
      </c>
      <c r="G41" s="88" t="str">
        <f xml:space="preserve">  InpS!G$77</f>
        <v>£m</v>
      </c>
      <c r="M41" s="89"/>
    </row>
    <row r="42" spans="1:13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outlineLevel="1" x14ac:dyDescent="0.2">
      <c r="E43" s="70" t="s">
        <v>169</v>
      </c>
      <c r="F43" s="89">
        <f xml:space="preserve">  $F40 - ( $F41 * $F42 )</f>
        <v>16.968428871737057</v>
      </c>
      <c r="G43" s="70" t="s">
        <v>29</v>
      </c>
      <c r="M43" s="89"/>
    </row>
    <row r="44" spans="1:13" outlineLevel="1" x14ac:dyDescent="0.2"/>
    <row r="45" spans="1:13" outlineLevel="1" x14ac:dyDescent="0.2"/>
    <row r="46" spans="1:13" outlineLevel="1" x14ac:dyDescent="0.2">
      <c r="B46" s="69" t="s">
        <v>170</v>
      </c>
    </row>
    <row r="47" spans="1:13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7.236770480101276</v>
      </c>
      <c r="G47" s="88" t="str">
        <f xml:space="preserve">  InpS!G$80</f>
        <v>£m</v>
      </c>
      <c r="M47" s="89"/>
    </row>
    <row r="48" spans="1:13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outlineLevel="1" x14ac:dyDescent="0.2">
      <c r="E50" s="70" t="s">
        <v>170</v>
      </c>
      <c r="F50" s="89">
        <f xml:space="preserve">  $F47 - ( $F48 * $F49 )</f>
        <v>7.236770480101276</v>
      </c>
      <c r="G50" s="70" t="s">
        <v>29</v>
      </c>
      <c r="M50" s="89"/>
    </row>
    <row r="51" spans="1:13" outlineLevel="1" x14ac:dyDescent="0.2"/>
    <row r="52" spans="1:13" outlineLevel="1" x14ac:dyDescent="0.2"/>
    <row r="53" spans="1:13" outlineLevel="1" x14ac:dyDescent="0.2">
      <c r="B53" s="69" t="s">
        <v>171</v>
      </c>
    </row>
    <row r="54" spans="1:13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65.268392899072893</v>
      </c>
      <c r="G54" s="88" t="str">
        <f xml:space="preserve">  InpS!G$82</f>
        <v>£m</v>
      </c>
      <c r="M54" s="89"/>
    </row>
    <row r="55" spans="1:13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17.258942730839912</v>
      </c>
      <c r="G55" s="88" t="str">
        <f xml:space="preserve">  InpS!G$81</f>
        <v>£m</v>
      </c>
      <c r="M55" s="89"/>
    </row>
    <row r="56" spans="1:13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2">
      <c r="E57" s="70" t="s">
        <v>171</v>
      </c>
      <c r="F57" s="89">
        <f xml:space="preserve">  $F54 - ( $F55 * $F56 )</f>
        <v>44.891910456976994</v>
      </c>
      <c r="G57" s="70" t="s">
        <v>29</v>
      </c>
      <c r="M57" s="89"/>
    </row>
    <row r="58" spans="1:13" outlineLevel="1" x14ac:dyDescent="0.2"/>
    <row r="59" spans="1:13" outlineLevel="1" x14ac:dyDescent="0.2"/>
    <row r="60" spans="1:13" outlineLevel="1" x14ac:dyDescent="0.2">
      <c r="B60" s="69" t="s">
        <v>172</v>
      </c>
    </row>
    <row r="61" spans="1:13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19.911185327734003</v>
      </c>
      <c r="G61" s="88" t="str">
        <f xml:space="preserve">  InpS!G$84</f>
        <v>£m</v>
      </c>
      <c r="M61" s="89"/>
    </row>
    <row r="62" spans="1:13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8.778913794483147</v>
      </c>
      <c r="G62" s="88" t="str">
        <f xml:space="preserve">  InpS!G$83</f>
        <v>£m</v>
      </c>
      <c r="M62" s="89"/>
    </row>
    <row r="63" spans="1:13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outlineLevel="1" x14ac:dyDescent="0.2">
      <c r="E64" s="70" t="s">
        <v>172</v>
      </c>
      <c r="F64" s="89">
        <f xml:space="preserve">  $F61 - ( $F62 * $F63 )</f>
        <v>9.5465073990962566</v>
      </c>
      <c r="G64" s="70" t="s">
        <v>29</v>
      </c>
      <c r="M64" s="89"/>
    </row>
    <row r="65" spans="1:13" outlineLevel="1" x14ac:dyDescent="0.2"/>
    <row r="66" spans="1:13" outlineLevel="1" x14ac:dyDescent="0.2"/>
    <row r="67" spans="1:13" outlineLevel="1" x14ac:dyDescent="0.2">
      <c r="B67" s="69" t="s">
        <v>173</v>
      </c>
    </row>
    <row r="68" spans="1:13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0</v>
      </c>
      <c r="G68" s="88" t="str">
        <f xml:space="preserve">  InpS!G$86</f>
        <v>£m</v>
      </c>
      <c r="M68" s="89"/>
    </row>
    <row r="69" spans="1:13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outlineLevel="1" x14ac:dyDescent="0.2">
      <c r="E71" s="70" t="s">
        <v>173</v>
      </c>
      <c r="F71" s="89">
        <f xml:space="preserve">  $F68 - ( $F69 * $F70 )</f>
        <v>0</v>
      </c>
      <c r="G71" s="70" t="s">
        <v>29</v>
      </c>
      <c r="M71" s="89"/>
    </row>
    <row r="72" spans="1:13" outlineLevel="1" x14ac:dyDescent="0.2"/>
    <row r="73" spans="1:13" outlineLevel="1" x14ac:dyDescent="0.2"/>
    <row r="74" spans="1:13" outlineLevel="1" x14ac:dyDescent="0.2">
      <c r="B74" s="69" t="s">
        <v>174</v>
      </c>
    </row>
    <row r="75" spans="1:13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38.514114687597896</v>
      </c>
      <c r="G75" s="88" t="str">
        <f xml:space="preserve">  InpS!G$88</f>
        <v>£m</v>
      </c>
      <c r="M75" s="89"/>
    </row>
    <row r="76" spans="1:13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93.384677376167886</v>
      </c>
      <c r="G76" s="88" t="str">
        <f xml:space="preserve">  InpS!G$87</f>
        <v>£m</v>
      </c>
      <c r="M76" s="89"/>
    </row>
    <row r="77" spans="1:13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outlineLevel="1" x14ac:dyDescent="0.2">
      <c r="E78" s="70" t="s">
        <v>174</v>
      </c>
      <c r="F78" s="89">
        <f xml:space="preserve">  $F75 - ( $F76 * $F77 )</f>
        <v>-71.738944760596468</v>
      </c>
      <c r="G78" s="70" t="s">
        <v>29</v>
      </c>
      <c r="M78" s="89"/>
    </row>
    <row r="79" spans="1:13" outlineLevel="1" x14ac:dyDescent="0.2"/>
    <row r="80" spans="1:13" outlineLevel="1" x14ac:dyDescent="0.2"/>
    <row r="81" spans="1:13" outlineLevel="1" x14ac:dyDescent="0.2">
      <c r="B81" s="69" t="s">
        <v>175</v>
      </c>
    </row>
    <row r="82" spans="1:13" outlineLevel="1" x14ac:dyDescent="0.2">
      <c r="E82" s="89" t="str">
        <f t="shared" ref="E82:G82" si="0" xml:space="preserve">  E$22</f>
        <v>Base expenditure delta</v>
      </c>
      <c r="F82" s="89">
        <f t="shared" si="0"/>
        <v>106.8429955280771</v>
      </c>
      <c r="G82" s="89" t="str">
        <f t="shared" si="0"/>
        <v>£m</v>
      </c>
      <c r="M82" s="89"/>
    </row>
    <row r="83" spans="1:13" outlineLevel="1" x14ac:dyDescent="0.2">
      <c r="E83" s="89" t="str">
        <f t="shared" ref="E83:G83" si="1" xml:space="preserve">  E$29</f>
        <v>Storm overflows delta</v>
      </c>
      <c r="F83" s="89">
        <f t="shared" si="1"/>
        <v>0</v>
      </c>
      <c r="G83" s="89" t="str">
        <f t="shared" si="1"/>
        <v>£m</v>
      </c>
      <c r="M83" s="89"/>
    </row>
    <row r="84" spans="1:13" outlineLevel="1" x14ac:dyDescent="0.2">
      <c r="E84" s="89" t="str">
        <f t="shared" ref="E84:G84" si="2" xml:space="preserve">  E$36</f>
        <v>Nutrient removal delta</v>
      </c>
      <c r="F84" s="89">
        <f t="shared" si="2"/>
        <v>0</v>
      </c>
      <c r="G84" s="89" t="str">
        <f t="shared" si="2"/>
        <v>£m</v>
      </c>
      <c r="M84" s="89"/>
    </row>
    <row r="85" spans="1:13" outlineLevel="1" x14ac:dyDescent="0.2">
      <c r="E85" s="89" t="str">
        <f t="shared" ref="E85:G85" si="3" xml:space="preserve">  E$43</f>
        <v>Resilience delta</v>
      </c>
      <c r="F85" s="89">
        <f t="shared" si="3"/>
        <v>16.968428871737057</v>
      </c>
      <c r="G85" s="89" t="str">
        <f t="shared" si="3"/>
        <v>£m</v>
      </c>
      <c r="M85" s="89"/>
    </row>
    <row r="86" spans="1:13" outlineLevel="1" x14ac:dyDescent="0.2">
      <c r="E86" s="89" t="str">
        <f t="shared" ref="E86:G86" si="4" xml:space="preserve">  E$50</f>
        <v>Net zero delta</v>
      </c>
      <c r="F86" s="89">
        <f t="shared" si="4"/>
        <v>7.236770480101276</v>
      </c>
      <c r="G86" s="89" t="str">
        <f t="shared" si="4"/>
        <v>£m</v>
      </c>
      <c r="M86" s="89"/>
    </row>
    <row r="87" spans="1:13" outlineLevel="1" x14ac:dyDescent="0.2">
      <c r="E87" s="89" t="str">
        <f t="shared" ref="E87:G87" si="5" xml:space="preserve">  E$57</f>
        <v>WRMP delta</v>
      </c>
      <c r="F87" s="89">
        <f t="shared" si="5"/>
        <v>44.891910456976994</v>
      </c>
      <c r="G87" s="89" t="str">
        <f t="shared" si="5"/>
        <v>£m</v>
      </c>
      <c r="M87" s="89"/>
    </row>
    <row r="88" spans="1:13" outlineLevel="1" x14ac:dyDescent="0.2">
      <c r="E88" s="89" t="str">
        <f t="shared" ref="E88:G88" si="6" xml:space="preserve">  E$64</f>
        <v>Environmental delta</v>
      </c>
      <c r="F88" s="89">
        <f t="shared" si="6"/>
        <v>9.5465073990962566</v>
      </c>
      <c r="G88" s="89" t="str">
        <f t="shared" si="6"/>
        <v>£m</v>
      </c>
      <c r="M88" s="89"/>
    </row>
    <row r="89" spans="1:13" outlineLevel="1" x14ac:dyDescent="0.2">
      <c r="E89" s="89" t="str">
        <f t="shared" ref="E89:G89" si="7" xml:space="preserve">  E$71</f>
        <v>Other environmental delta</v>
      </c>
      <c r="F89" s="89">
        <f t="shared" si="7"/>
        <v>0</v>
      </c>
      <c r="G89" s="89" t="str">
        <f t="shared" si="7"/>
        <v>£m</v>
      </c>
      <c r="M89" s="89"/>
    </row>
    <row r="90" spans="1:13" outlineLevel="1" x14ac:dyDescent="0.2">
      <c r="E90" s="89" t="str">
        <f t="shared" ref="E90:G90" si="8" xml:space="preserve">  E$78</f>
        <v>Other enhancement costs delta</v>
      </c>
      <c r="F90" s="89">
        <f t="shared" si="8"/>
        <v>-71.738944760596468</v>
      </c>
      <c r="G90" s="89" t="str">
        <f t="shared" si="8"/>
        <v>£m</v>
      </c>
      <c r="M90" s="89"/>
    </row>
    <row r="91" spans="1:13" outlineLevel="1" x14ac:dyDescent="0.2">
      <c r="E91" s="70" t="s">
        <v>175</v>
      </c>
      <c r="F91" s="89">
        <f xml:space="preserve">  $F82 + $F83 + $F84 + $F85 + $F86 + $F87 + $F88 + $F89 + $F90</f>
        <v>113.7476679753922</v>
      </c>
      <c r="G91" s="70" t="s">
        <v>29</v>
      </c>
      <c r="M91" s="89"/>
    </row>
    <row r="92" spans="1:13" outlineLevel="1" x14ac:dyDescent="0.2"/>
    <row r="95" spans="1:13" x14ac:dyDescent="0.2">
      <c r="A95" s="69" t="s">
        <v>176</v>
      </c>
    </row>
    <row r="96" spans="1:13" outlineLevel="1" x14ac:dyDescent="0.2">
      <c r="B96" s="69" t="s">
        <v>177</v>
      </c>
    </row>
    <row r="97" spans="2:13" outlineLevel="1" x14ac:dyDescent="0.2">
      <c r="E97" s="89" t="str">
        <f t="shared" ref="E97:G97" si="9" xml:space="preserve">  E$91</f>
        <v>Total expenditure category delta</v>
      </c>
      <c r="F97" s="89">
        <f t="shared" si="9"/>
        <v>113.7476679753922</v>
      </c>
      <c r="G97" s="89" t="str">
        <f t="shared" si="9"/>
        <v>£m</v>
      </c>
      <c r="M97" s="89"/>
    </row>
    <row r="98" spans="2:13" outlineLevel="1" x14ac:dyDescent="0.2">
      <c r="E98" s="89" t="str">
        <f t="shared" ref="E98:G98" si="10" xml:space="preserve">  E$22</f>
        <v>Base expenditure delta</v>
      </c>
      <c r="F98" s="89">
        <f t="shared" si="10"/>
        <v>106.8429955280771</v>
      </c>
      <c r="G98" s="89" t="str">
        <f t="shared" si="10"/>
        <v>£m</v>
      </c>
      <c r="M98" s="89"/>
    </row>
    <row r="99" spans="2:13" outlineLevel="1" x14ac:dyDescent="0.2">
      <c r="E99" s="70" t="s">
        <v>177</v>
      </c>
      <c r="F99" s="91">
        <f xml:space="preserve">  IF( $F97 = 0, 0, $F98 / $F97 )</f>
        <v>0.93929833841684696</v>
      </c>
      <c r="G99" s="70" t="s">
        <v>115</v>
      </c>
      <c r="M99" s="91"/>
    </row>
    <row r="100" spans="2:13" outlineLevel="1" x14ac:dyDescent="0.2"/>
    <row r="101" spans="2:13" outlineLevel="1" x14ac:dyDescent="0.2"/>
    <row r="102" spans="2:13" outlineLevel="1" x14ac:dyDescent="0.2">
      <c r="B102" s="69" t="s">
        <v>178</v>
      </c>
    </row>
    <row r="103" spans="2:13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113.7476679753922</v>
      </c>
      <c r="G103" s="89" t="str">
        <f t="shared" si="11"/>
        <v>£m</v>
      </c>
      <c r="M103" s="89"/>
    </row>
    <row r="104" spans="2:13" outlineLevel="1" x14ac:dyDescent="0.2">
      <c r="E104" s="89" t="str">
        <f t="shared" ref="E104:G104" si="12" xml:space="preserve">  E$29</f>
        <v>Storm overflows delta</v>
      </c>
      <c r="F104" s="89">
        <f t="shared" si="12"/>
        <v>0</v>
      </c>
      <c r="G104" s="89" t="str">
        <f t="shared" si="12"/>
        <v>£m</v>
      </c>
      <c r="M104" s="89"/>
    </row>
    <row r="105" spans="2:13" outlineLevel="1" x14ac:dyDescent="0.2">
      <c r="E105" s="70" t="s">
        <v>178</v>
      </c>
      <c r="F105" s="91">
        <f xml:space="preserve">  IF( $F103 = 0, 0, $F104 / $F103 )</f>
        <v>0</v>
      </c>
      <c r="G105" s="70" t="s">
        <v>115</v>
      </c>
      <c r="M105" s="91"/>
    </row>
    <row r="106" spans="2:13" outlineLevel="1" x14ac:dyDescent="0.2"/>
    <row r="107" spans="2:13" outlineLevel="1" x14ac:dyDescent="0.2"/>
    <row r="108" spans="2:13" outlineLevel="1" x14ac:dyDescent="0.2">
      <c r="B108" s="69" t="s">
        <v>179</v>
      </c>
    </row>
    <row r="109" spans="2:13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113.7476679753922</v>
      </c>
      <c r="G109" s="89" t="str">
        <f t="shared" si="13"/>
        <v>£m</v>
      </c>
      <c r="M109" s="89"/>
    </row>
    <row r="110" spans="2:13" outlineLevel="1" x14ac:dyDescent="0.2">
      <c r="E110" s="89" t="str">
        <f t="shared" ref="E110:G110" si="14" xml:space="preserve">  E$36</f>
        <v>Nutrient removal delta</v>
      </c>
      <c r="F110" s="89">
        <f t="shared" si="14"/>
        <v>0</v>
      </c>
      <c r="G110" s="89" t="str">
        <f t="shared" si="14"/>
        <v>£m</v>
      </c>
      <c r="M110" s="89"/>
    </row>
    <row r="111" spans="2:13" outlineLevel="1" x14ac:dyDescent="0.2">
      <c r="E111" s="70" t="s">
        <v>179</v>
      </c>
      <c r="F111" s="91">
        <f xml:space="preserve">  IF( $F109 = 0, 0, $F110 / $F109 )</f>
        <v>0</v>
      </c>
      <c r="G111" s="70" t="s">
        <v>115</v>
      </c>
      <c r="M111" s="91"/>
    </row>
    <row r="112" spans="2:13" outlineLevel="1" x14ac:dyDescent="0.2"/>
    <row r="113" spans="2:13" outlineLevel="1" x14ac:dyDescent="0.2"/>
    <row r="114" spans="2:13" outlineLevel="1" x14ac:dyDescent="0.2">
      <c r="B114" s="69" t="s">
        <v>180</v>
      </c>
    </row>
    <row r="115" spans="2:13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113.7476679753922</v>
      </c>
      <c r="G115" s="89" t="str">
        <f t="shared" si="15"/>
        <v>£m</v>
      </c>
      <c r="M115" s="89"/>
    </row>
    <row r="116" spans="2:13" outlineLevel="1" x14ac:dyDescent="0.2">
      <c r="E116" s="89" t="str">
        <f t="shared" ref="E116:G116" si="16" xml:space="preserve">  E$43</f>
        <v>Resilience delta</v>
      </c>
      <c r="F116" s="89">
        <f t="shared" si="16"/>
        <v>16.968428871737057</v>
      </c>
      <c r="G116" s="89" t="str">
        <f t="shared" si="16"/>
        <v>£m</v>
      </c>
      <c r="M116" s="89"/>
    </row>
    <row r="117" spans="2:13" outlineLevel="1" x14ac:dyDescent="0.2">
      <c r="E117" s="70" t="s">
        <v>180</v>
      </c>
      <c r="F117" s="91">
        <f xml:space="preserve">  IF( $F115 = 0, 0, $F116 / $F115 )</f>
        <v>0.14917605937563441</v>
      </c>
      <c r="G117" s="70" t="s">
        <v>115</v>
      </c>
      <c r="M117" s="91"/>
    </row>
    <row r="118" spans="2:13" outlineLevel="1" x14ac:dyDescent="0.2"/>
    <row r="119" spans="2:13" outlineLevel="1" x14ac:dyDescent="0.2"/>
    <row r="120" spans="2:13" outlineLevel="1" x14ac:dyDescent="0.2">
      <c r="B120" s="69" t="s">
        <v>181</v>
      </c>
    </row>
    <row r="121" spans="2:13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113.7476679753922</v>
      </c>
      <c r="G121" s="89" t="str">
        <f t="shared" si="17"/>
        <v>£m</v>
      </c>
      <c r="M121" s="89"/>
    </row>
    <row r="122" spans="2:13" outlineLevel="1" x14ac:dyDescent="0.2">
      <c r="E122" s="89" t="str">
        <f t="shared" ref="E122:G122" si="18" xml:space="preserve">  E$50</f>
        <v>Net zero delta</v>
      </c>
      <c r="F122" s="89">
        <f t="shared" si="18"/>
        <v>7.236770480101276</v>
      </c>
      <c r="G122" s="89" t="str">
        <f t="shared" si="18"/>
        <v>£m</v>
      </c>
      <c r="M122" s="89"/>
    </row>
    <row r="123" spans="2:13" outlineLevel="1" x14ac:dyDescent="0.2">
      <c r="E123" s="70" t="s">
        <v>181</v>
      </c>
      <c r="F123" s="91">
        <f xml:space="preserve">  IF( $F121 = 0, 0, $F122 / $F121 )</f>
        <v>6.3621264584227386E-2</v>
      </c>
      <c r="G123" s="70" t="s">
        <v>115</v>
      </c>
      <c r="M123" s="91"/>
    </row>
    <row r="124" spans="2:13" outlineLevel="1" x14ac:dyDescent="0.2"/>
    <row r="125" spans="2:13" outlineLevel="1" x14ac:dyDescent="0.2"/>
    <row r="126" spans="2:13" outlineLevel="1" x14ac:dyDescent="0.2">
      <c r="B126" s="69" t="s">
        <v>182</v>
      </c>
    </row>
    <row r="127" spans="2:13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113.7476679753922</v>
      </c>
      <c r="G127" s="89" t="str">
        <f t="shared" si="19"/>
        <v>£m</v>
      </c>
      <c r="M127" s="89"/>
    </row>
    <row r="128" spans="2:13" outlineLevel="1" x14ac:dyDescent="0.2">
      <c r="E128" s="89" t="str">
        <f t="shared" ref="E128:G128" si="20" xml:space="preserve">  E$57</f>
        <v>WRMP delta</v>
      </c>
      <c r="F128" s="89">
        <f t="shared" si="20"/>
        <v>44.891910456976994</v>
      </c>
      <c r="G128" s="89" t="str">
        <f t="shared" si="20"/>
        <v>£m</v>
      </c>
      <c r="M128" s="89"/>
    </row>
    <row r="129" spans="2:13" outlineLevel="1" x14ac:dyDescent="0.2">
      <c r="E129" s="70" t="s">
        <v>182</v>
      </c>
      <c r="F129" s="91">
        <f xml:space="preserve">  IF( $F127 = 0, 0, $F128 / $F127 )</f>
        <v>0.3946622489587106</v>
      </c>
      <c r="G129" s="70" t="s">
        <v>115</v>
      </c>
      <c r="M129" s="91"/>
    </row>
    <row r="130" spans="2:13" outlineLevel="1" x14ac:dyDescent="0.2"/>
    <row r="131" spans="2:13" outlineLevel="1" x14ac:dyDescent="0.2"/>
    <row r="132" spans="2:13" outlineLevel="1" x14ac:dyDescent="0.2">
      <c r="B132" s="69" t="s">
        <v>183</v>
      </c>
    </row>
    <row r="133" spans="2:13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113.7476679753922</v>
      </c>
      <c r="G133" s="89" t="str">
        <f t="shared" si="21"/>
        <v>£m</v>
      </c>
      <c r="M133" s="89"/>
    </row>
    <row r="134" spans="2:13" outlineLevel="1" x14ac:dyDescent="0.2">
      <c r="E134" s="89" t="str">
        <f t="shared" ref="E134:G134" si="22" xml:space="preserve">  E$64</f>
        <v>Environmental delta</v>
      </c>
      <c r="F134" s="89">
        <f t="shared" si="22"/>
        <v>9.5465073990962566</v>
      </c>
      <c r="G134" s="89" t="str">
        <f t="shared" si="22"/>
        <v>£m</v>
      </c>
      <c r="M134" s="89"/>
    </row>
    <row r="135" spans="2:13" outlineLevel="1" x14ac:dyDescent="0.2">
      <c r="E135" s="70" t="s">
        <v>183</v>
      </c>
      <c r="F135" s="91">
        <f xml:space="preserve">  IF( $F133 = 0, 0, $F134 / $F133 )</f>
        <v>8.3927060387396391E-2</v>
      </c>
      <c r="G135" s="70" t="s">
        <v>115</v>
      </c>
      <c r="M135" s="91"/>
    </row>
    <row r="136" spans="2:13" outlineLevel="1" x14ac:dyDescent="0.2"/>
    <row r="137" spans="2:13" outlineLevel="1" x14ac:dyDescent="0.2"/>
    <row r="138" spans="2:13" outlineLevel="1" x14ac:dyDescent="0.2">
      <c r="B138" s="69" t="s">
        <v>184</v>
      </c>
    </row>
    <row r="139" spans="2:13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113.7476679753922</v>
      </c>
      <c r="G139" s="89" t="str">
        <f t="shared" si="23"/>
        <v>£m</v>
      </c>
      <c r="M139" s="89"/>
    </row>
    <row r="140" spans="2:13" outlineLevel="1" x14ac:dyDescent="0.2">
      <c r="E140" s="89" t="str">
        <f t="shared" ref="E140:G140" si="24" xml:space="preserve">  E$71</f>
        <v>Other environmental delta</v>
      </c>
      <c r="F140" s="89">
        <f t="shared" si="24"/>
        <v>0</v>
      </c>
      <c r="G140" s="89" t="str">
        <f t="shared" si="24"/>
        <v>£m</v>
      </c>
      <c r="M140" s="89"/>
    </row>
    <row r="141" spans="2:13" outlineLevel="1" x14ac:dyDescent="0.2">
      <c r="E141" s="70" t="s">
        <v>184</v>
      </c>
      <c r="F141" s="91">
        <f xml:space="preserve">  IF( $F139 = 0, 0, $F140 / $F139 )</f>
        <v>0</v>
      </c>
      <c r="G141" s="70" t="s">
        <v>115</v>
      </c>
      <c r="M141" s="91"/>
    </row>
    <row r="142" spans="2:13" outlineLevel="1" x14ac:dyDescent="0.2"/>
    <row r="143" spans="2:13" outlineLevel="1" x14ac:dyDescent="0.2"/>
    <row r="144" spans="2:13" outlineLevel="1" x14ac:dyDescent="0.2">
      <c r="B144" s="69" t="s">
        <v>185</v>
      </c>
    </row>
    <row r="145" spans="1:13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113.7476679753922</v>
      </c>
      <c r="G145" s="89" t="str">
        <f t="shared" si="25"/>
        <v>£m</v>
      </c>
      <c r="M145" s="89"/>
    </row>
    <row r="146" spans="1:13" outlineLevel="1" x14ac:dyDescent="0.2">
      <c r="E146" s="89" t="str">
        <f t="shared" ref="E146:G146" si="26" xml:space="preserve">  E$78</f>
        <v>Other enhancement costs delta</v>
      </c>
      <c r="F146" s="89">
        <f t="shared" si="26"/>
        <v>-71.738944760596468</v>
      </c>
      <c r="G146" s="89" t="str">
        <f t="shared" si="26"/>
        <v>£m</v>
      </c>
      <c r="M146" s="89"/>
    </row>
    <row r="147" spans="1:13" outlineLevel="1" x14ac:dyDescent="0.2">
      <c r="E147" s="70" t="s">
        <v>185</v>
      </c>
      <c r="F147" s="91">
        <f xml:space="preserve">  IF( $F145 = 0, 0, $F146 / $F145 )</f>
        <v>-0.63068497172281579</v>
      </c>
      <c r="G147" s="70" t="s">
        <v>115</v>
      </c>
      <c r="M147" s="91"/>
    </row>
    <row r="148" spans="1:13" outlineLevel="1" x14ac:dyDescent="0.2"/>
    <row r="151" spans="1:13" x14ac:dyDescent="0.2">
      <c r="A151" s="69" t="s">
        <v>186</v>
      </c>
    </row>
    <row r="152" spans="1:13" outlineLevel="1" x14ac:dyDescent="0.2">
      <c r="B152" s="69" t="s">
        <v>187</v>
      </c>
    </row>
    <row r="153" spans="1:13" outlineLevel="1" x14ac:dyDescent="0.2">
      <c r="E153" s="91" t="str">
        <f t="shared" ref="E153:G153" si="27" xml:space="preserve">  E$99</f>
        <v>Base expenditure proportion</v>
      </c>
      <c r="F153" s="91">
        <f t="shared" si="27"/>
        <v>0.93929833841684696</v>
      </c>
      <c r="G153" s="91" t="str">
        <f t="shared" si="27"/>
        <v>factor</v>
      </c>
      <c r="M153" s="91"/>
    </row>
    <row r="154" spans="1:13" outlineLevel="1" x14ac:dyDescent="0.2">
      <c r="E154" s="89" t="str">
        <f t="shared" ref="E154:G154" si="28" xml:space="preserve">  E$13</f>
        <v>Costs impact</v>
      </c>
      <c r="F154" s="89">
        <f t="shared" si="28"/>
        <v>-0.33798804793335835</v>
      </c>
      <c r="G154" s="89" t="str">
        <f t="shared" si="28"/>
        <v>£ / customer</v>
      </c>
      <c r="M154" s="89"/>
    </row>
    <row r="155" spans="1:13" outlineLevel="1" x14ac:dyDescent="0.2">
      <c r="E155" s="70" t="s">
        <v>187</v>
      </c>
      <c r="F155" s="89">
        <f xml:space="preserve">  $F153 * $F154</f>
        <v>-0.3174716118285571</v>
      </c>
      <c r="G155" s="70" t="s">
        <v>50</v>
      </c>
      <c r="M155" s="89"/>
    </row>
    <row r="156" spans="1:13" outlineLevel="1" x14ac:dyDescent="0.2"/>
    <row r="157" spans="1:13" outlineLevel="1" x14ac:dyDescent="0.2"/>
    <row r="158" spans="1:13" outlineLevel="1" x14ac:dyDescent="0.2">
      <c r="B158" s="69" t="s">
        <v>188</v>
      </c>
    </row>
    <row r="159" spans="1:13" outlineLevel="1" x14ac:dyDescent="0.2">
      <c r="E159" s="91" t="str">
        <f t="shared" ref="E159:G159" si="29" xml:space="preserve">  E$105</f>
        <v>Storm overflows proportion</v>
      </c>
      <c r="F159" s="91">
        <f t="shared" si="29"/>
        <v>0</v>
      </c>
      <c r="G159" s="91" t="str">
        <f t="shared" si="29"/>
        <v>factor</v>
      </c>
      <c r="M159" s="91"/>
    </row>
    <row r="160" spans="1:13" outlineLevel="1" x14ac:dyDescent="0.2">
      <c r="E160" s="89" t="str">
        <f t="shared" ref="E160:G160" si="30" xml:space="preserve">  E$13</f>
        <v>Costs impact</v>
      </c>
      <c r="F160" s="89">
        <f t="shared" si="30"/>
        <v>-0.33798804793335835</v>
      </c>
      <c r="G160" s="89" t="str">
        <f t="shared" si="30"/>
        <v>£ / customer</v>
      </c>
      <c r="M160" s="89"/>
    </row>
    <row r="161" spans="2:13" outlineLevel="1" x14ac:dyDescent="0.2">
      <c r="E161" s="70" t="s">
        <v>188</v>
      </c>
      <c r="F161" s="89">
        <f xml:space="preserve">  $F159 * $F160</f>
        <v>0</v>
      </c>
      <c r="G161" s="70" t="s">
        <v>50</v>
      </c>
      <c r="M161" s="89"/>
    </row>
    <row r="162" spans="2:13" outlineLevel="1" x14ac:dyDescent="0.2"/>
    <row r="163" spans="2:13" outlineLevel="1" x14ac:dyDescent="0.2"/>
    <row r="164" spans="2:13" outlineLevel="1" x14ac:dyDescent="0.2">
      <c r="B164" s="69" t="s">
        <v>189</v>
      </c>
    </row>
    <row r="165" spans="2:13" outlineLevel="1" x14ac:dyDescent="0.2">
      <c r="E165" s="91" t="str">
        <f t="shared" ref="E165:G165" si="31" xml:space="preserve">  E$111</f>
        <v>Nutrient removal proportion</v>
      </c>
      <c r="F165" s="91">
        <f t="shared" si="31"/>
        <v>0</v>
      </c>
      <c r="G165" s="91" t="str">
        <f t="shared" si="31"/>
        <v>factor</v>
      </c>
      <c r="M165" s="91"/>
    </row>
    <row r="166" spans="2:13" outlineLevel="1" x14ac:dyDescent="0.2">
      <c r="E166" s="89" t="str">
        <f t="shared" ref="E166:G166" si="32" xml:space="preserve">  E$13</f>
        <v>Costs impact</v>
      </c>
      <c r="F166" s="89">
        <f t="shared" si="32"/>
        <v>-0.33798804793335835</v>
      </c>
      <c r="G166" s="89" t="str">
        <f t="shared" si="32"/>
        <v>£ / customer</v>
      </c>
      <c r="M166" s="89"/>
    </row>
    <row r="167" spans="2:13" outlineLevel="1" x14ac:dyDescent="0.2">
      <c r="E167" s="70" t="s">
        <v>189</v>
      </c>
      <c r="F167" s="89">
        <f xml:space="preserve">  $F165 * $F166</f>
        <v>0</v>
      </c>
      <c r="G167" s="70" t="s">
        <v>50</v>
      </c>
      <c r="M167" s="89"/>
    </row>
    <row r="168" spans="2:13" outlineLevel="1" x14ac:dyDescent="0.2"/>
    <row r="169" spans="2:13" outlineLevel="1" x14ac:dyDescent="0.2"/>
    <row r="170" spans="2:13" outlineLevel="1" x14ac:dyDescent="0.2">
      <c r="B170" s="69" t="s">
        <v>190</v>
      </c>
    </row>
    <row r="171" spans="2:13" outlineLevel="1" x14ac:dyDescent="0.2">
      <c r="E171" s="91" t="str">
        <f t="shared" ref="E171:G171" si="33" xml:space="preserve">  E$117</f>
        <v>Resilience proportion</v>
      </c>
      <c r="F171" s="91">
        <f t="shared" si="33"/>
        <v>0.14917605937563441</v>
      </c>
      <c r="G171" s="91" t="str">
        <f t="shared" si="33"/>
        <v>factor</v>
      </c>
      <c r="M171" s="91"/>
    </row>
    <row r="172" spans="2:13" outlineLevel="1" x14ac:dyDescent="0.2">
      <c r="E172" s="89" t="str">
        <f t="shared" ref="E172:G172" si="34" xml:space="preserve">  E$13</f>
        <v>Costs impact</v>
      </c>
      <c r="F172" s="89">
        <f t="shared" si="34"/>
        <v>-0.33798804793335835</v>
      </c>
      <c r="G172" s="89" t="str">
        <f t="shared" si="34"/>
        <v>£ / customer</v>
      </c>
      <c r="M172" s="89"/>
    </row>
    <row r="173" spans="2:13" outlineLevel="1" x14ac:dyDescent="0.2">
      <c r="E173" s="70" t="s">
        <v>190</v>
      </c>
      <c r="F173" s="89">
        <f xml:space="preserve">  $F171 * $F172</f>
        <v>-5.0419725106761432E-2</v>
      </c>
      <c r="G173" s="70" t="s">
        <v>50</v>
      </c>
      <c r="M173" s="89"/>
    </row>
    <row r="174" spans="2:13" outlineLevel="1" x14ac:dyDescent="0.2"/>
    <row r="175" spans="2:13" outlineLevel="1" x14ac:dyDescent="0.2"/>
    <row r="176" spans="2:13" outlineLevel="1" x14ac:dyDescent="0.2">
      <c r="B176" s="69" t="s">
        <v>191</v>
      </c>
    </row>
    <row r="177" spans="2:13" outlineLevel="1" x14ac:dyDescent="0.2">
      <c r="E177" s="91" t="str">
        <f t="shared" ref="E177:G177" si="35" xml:space="preserve">  E$123</f>
        <v>Net zero proportion</v>
      </c>
      <c r="F177" s="91">
        <f t="shared" si="35"/>
        <v>6.3621264584227386E-2</v>
      </c>
      <c r="G177" s="91" t="str">
        <f t="shared" si="35"/>
        <v>factor</v>
      </c>
      <c r="M177" s="91"/>
    </row>
    <row r="178" spans="2:13" outlineLevel="1" x14ac:dyDescent="0.2">
      <c r="E178" s="89" t="str">
        <f t="shared" ref="E178:G178" si="36" xml:space="preserve">  E$13</f>
        <v>Costs impact</v>
      </c>
      <c r="F178" s="89">
        <f t="shared" si="36"/>
        <v>-0.33798804793335835</v>
      </c>
      <c r="G178" s="89" t="str">
        <f t="shared" si="36"/>
        <v>£ / customer</v>
      </c>
      <c r="M178" s="89"/>
    </row>
    <row r="179" spans="2:13" outlineLevel="1" x14ac:dyDescent="0.2">
      <c r="E179" s="70" t="s">
        <v>191</v>
      </c>
      <c r="F179" s="89">
        <f xml:space="preserve">  $F177 * $F178</f>
        <v>-2.1503227023874718E-2</v>
      </c>
      <c r="G179" s="70" t="s">
        <v>50</v>
      </c>
      <c r="M179" s="89"/>
    </row>
    <row r="180" spans="2:13" outlineLevel="1" x14ac:dyDescent="0.2"/>
    <row r="181" spans="2:13" outlineLevel="1" x14ac:dyDescent="0.2"/>
    <row r="182" spans="2:13" outlineLevel="1" x14ac:dyDescent="0.2">
      <c r="B182" s="69" t="s">
        <v>192</v>
      </c>
    </row>
    <row r="183" spans="2:13" outlineLevel="1" x14ac:dyDescent="0.2">
      <c r="E183" s="91" t="str">
        <f t="shared" ref="E183:G183" si="37" xml:space="preserve">  E$129</f>
        <v>WRMP proportion</v>
      </c>
      <c r="F183" s="91">
        <f t="shared" si="37"/>
        <v>0.3946622489587106</v>
      </c>
      <c r="G183" s="91" t="str">
        <f t="shared" si="37"/>
        <v>factor</v>
      </c>
      <c r="M183" s="91"/>
    </row>
    <row r="184" spans="2:13" outlineLevel="1" x14ac:dyDescent="0.2">
      <c r="E184" s="89" t="str">
        <f t="shared" ref="E184:G184" si="38" xml:space="preserve">  E$13</f>
        <v>Costs impact</v>
      </c>
      <c r="F184" s="89">
        <f t="shared" si="38"/>
        <v>-0.33798804793335835</v>
      </c>
      <c r="G184" s="89" t="str">
        <f t="shared" si="38"/>
        <v>£ / customer</v>
      </c>
      <c r="M184" s="89"/>
    </row>
    <row r="185" spans="2:13" outlineLevel="1" x14ac:dyDescent="0.2">
      <c r="E185" s="70" t="s">
        <v>192</v>
      </c>
      <c r="F185" s="89">
        <f xml:space="preserve">  $F183 * $F184</f>
        <v>-0.13339112311854368</v>
      </c>
      <c r="G185" s="70" t="s">
        <v>50</v>
      </c>
      <c r="M185" s="89"/>
    </row>
    <row r="186" spans="2:13" outlineLevel="1" x14ac:dyDescent="0.2"/>
    <row r="187" spans="2:13" outlineLevel="1" x14ac:dyDescent="0.2"/>
    <row r="188" spans="2:13" outlineLevel="1" x14ac:dyDescent="0.2">
      <c r="B188" s="69" t="s">
        <v>193</v>
      </c>
    </row>
    <row r="189" spans="2:13" outlineLevel="1" x14ac:dyDescent="0.2">
      <c r="E189" s="91" t="str">
        <f t="shared" ref="E189:G189" si="39" xml:space="preserve">  E$135</f>
        <v>Environmental proportion</v>
      </c>
      <c r="F189" s="91">
        <f t="shared" si="39"/>
        <v>8.3927060387396391E-2</v>
      </c>
      <c r="G189" s="91" t="str">
        <f t="shared" si="39"/>
        <v>factor</v>
      </c>
      <c r="M189" s="91"/>
    </row>
    <row r="190" spans="2:13" outlineLevel="1" x14ac:dyDescent="0.2">
      <c r="E190" s="89" t="str">
        <f t="shared" ref="E190:G190" si="40" xml:space="preserve">  E$13</f>
        <v>Costs impact</v>
      </c>
      <c r="F190" s="89">
        <f t="shared" si="40"/>
        <v>-0.33798804793335835</v>
      </c>
      <c r="G190" s="89" t="str">
        <f t="shared" si="40"/>
        <v>£ / customer</v>
      </c>
      <c r="M190" s="89"/>
    </row>
    <row r="191" spans="2:13" outlineLevel="1" x14ac:dyDescent="0.2">
      <c r="E191" s="70" t="s">
        <v>193</v>
      </c>
      <c r="F191" s="89">
        <f xml:space="preserve">  $F189 * $F190</f>
        <v>-2.8366343309121193E-2</v>
      </c>
      <c r="G191" s="70" t="s">
        <v>50</v>
      </c>
      <c r="M191" s="89"/>
    </row>
    <row r="192" spans="2:13" outlineLevel="1" x14ac:dyDescent="0.2"/>
    <row r="193" spans="2:13" outlineLevel="1" x14ac:dyDescent="0.2"/>
    <row r="194" spans="2:13" outlineLevel="1" x14ac:dyDescent="0.2">
      <c r="B194" s="69" t="s">
        <v>194</v>
      </c>
    </row>
    <row r="195" spans="2:13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</v>
      </c>
      <c r="G195" s="91" t="str">
        <f t="shared" si="41"/>
        <v>factor</v>
      </c>
      <c r="M195" s="91"/>
    </row>
    <row r="196" spans="2:13" outlineLevel="1" x14ac:dyDescent="0.2">
      <c r="E196" s="89" t="str">
        <f t="shared" ref="E196:G196" si="42" xml:space="preserve">  E$13</f>
        <v>Costs impact</v>
      </c>
      <c r="F196" s="89">
        <f t="shared" si="42"/>
        <v>-0.33798804793335835</v>
      </c>
      <c r="G196" s="89" t="str">
        <f t="shared" si="42"/>
        <v>£ / customer</v>
      </c>
      <c r="M196" s="89"/>
    </row>
    <row r="197" spans="2:13" outlineLevel="1" x14ac:dyDescent="0.2">
      <c r="E197" s="70" t="s">
        <v>194</v>
      </c>
      <c r="F197" s="89">
        <f xml:space="preserve">  $F195 * $F196</f>
        <v>0</v>
      </c>
      <c r="G197" s="70" t="s">
        <v>50</v>
      </c>
      <c r="M197" s="89"/>
    </row>
    <row r="198" spans="2:13" outlineLevel="1" x14ac:dyDescent="0.2"/>
    <row r="199" spans="2:13" outlineLevel="1" x14ac:dyDescent="0.2"/>
    <row r="200" spans="2:13" outlineLevel="1" x14ac:dyDescent="0.2">
      <c r="B200" s="69" t="s">
        <v>195</v>
      </c>
    </row>
    <row r="201" spans="2:13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-0.63068497172281579</v>
      </c>
      <c r="G201" s="91" t="str">
        <f t="shared" si="43"/>
        <v>factor</v>
      </c>
      <c r="M201" s="91"/>
    </row>
    <row r="202" spans="2:13" outlineLevel="1" x14ac:dyDescent="0.2">
      <c r="E202" s="89" t="str">
        <f t="shared" ref="E202:G202" si="44" xml:space="preserve">  E$13</f>
        <v>Costs impact</v>
      </c>
      <c r="F202" s="89">
        <f t="shared" si="44"/>
        <v>-0.33798804793335835</v>
      </c>
      <c r="G202" s="89" t="str">
        <f t="shared" si="44"/>
        <v>£ / customer</v>
      </c>
      <c r="M202" s="89"/>
    </row>
    <row r="203" spans="2:13" outlineLevel="1" x14ac:dyDescent="0.2">
      <c r="E203" s="70" t="s">
        <v>195</v>
      </c>
      <c r="F203" s="89">
        <f xml:space="preserve">  $F201 * $F202</f>
        <v>0.21316398245349982</v>
      </c>
      <c r="G203" s="70" t="s">
        <v>50</v>
      </c>
      <c r="M203" s="89"/>
    </row>
    <row r="204" spans="2:13" outlineLevel="1" x14ac:dyDescent="0.2"/>
    <row r="207" spans="2:13" x14ac:dyDescent="0.2">
      <c r="B207" s="70" t="s">
        <v>98</v>
      </c>
    </row>
  </sheetData>
  <conditionalFormatting sqref="F2">
    <cfRule type="cellIs" dxfId="19" priority="3" stopIfTrue="1" operator="equal">
      <formula>""</formula>
    </cfRule>
  </conditionalFormatting>
  <conditionalFormatting sqref="F2:F3">
    <cfRule type="cellIs" dxfId="18" priority="1" stopIfTrue="1" operator="notEqual">
      <formula>0</formula>
    </cfRule>
  </conditionalFormatting>
  <conditionalFormatting sqref="J3:S3">
    <cfRule type="cellIs" dxfId="17" priority="9" operator="equal">
      <formula>"PPA ext."</formula>
    </cfRule>
    <cfRule type="cellIs" dxfId="16" priority="10" operator="equal">
      <formula>"Delay"</formula>
    </cfRule>
    <cfRule type="cellIs" dxfId="15" priority="11" operator="equal">
      <formula>"Fin Close"</formula>
    </cfRule>
    <cfRule type="cellIs" dxfId="14" priority="12" stopIfTrue="1" operator="equal">
      <formula>"Construction"</formula>
    </cfRule>
    <cfRule type="cellIs" dxfId="13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3" sqref="F3"/>
    </sheetView>
  </sheetViews>
  <sheetFormatPr defaultColWidth="0" defaultRowHeight="13.8" x14ac:dyDescent="0.2"/>
  <cols>
    <col min="1" max="4" width="1.42578125" style="70" customWidth="1"/>
    <col min="5" max="5" width="44" style="70" bestFit="1" customWidth="1"/>
    <col min="6" max="6" width="18.7109375" style="70" bestFit="1" customWidth="1"/>
    <col min="7" max="7" width="14.85546875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44" customFormat="1" ht="25.8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4.8100164116579895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-4.0456510458980146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2.7594017640408617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-3.861755177734195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2.5805975085782618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1.374928567885999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2.5339088069193094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2.6346252616671251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18.564583172035729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F2:F3">
    <cfRule type="cellIs" dxfId="12" priority="1" stopIfTrue="1" operator="notEqual">
      <formula>0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  <cfRule type="cellIs" dxfId="9" priority="5" operator="equal">
      <formula>"Fin Close"</formula>
    </cfRule>
    <cfRule type="cellIs" dxfId="8" priority="6" stopIfTrue="1" operator="equal">
      <formula>"Construction"</formula>
    </cfRule>
    <cfRule type="cellIs" dxfId="7" priority="7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workbookViewId="0">
      <selection activeCell="F19" sqref="F19"/>
    </sheetView>
  </sheetViews>
  <sheetFormatPr defaultColWidth="0" defaultRowHeight="13.8" x14ac:dyDescent="0.2"/>
  <cols>
    <col min="1" max="2" width="1.42578125" style="7" customWidth="1"/>
    <col min="3" max="3" width="1.42578125" style="24" customWidth="1"/>
    <col min="4" max="4" width="1.42578125" style="45" customWidth="1"/>
    <col min="5" max="5" width="71.42578125" style="9" customWidth="1"/>
    <col min="6" max="6" width="16.28515625" style="9" customWidth="1"/>
    <col min="7" max="8" width="15.140625" style="9" customWidth="1"/>
    <col min="9" max="9" width="3.42578125" style="9" customWidth="1"/>
    <col min="10" max="15" width="15.140625" style="9" customWidth="1"/>
    <col min="16" max="16" width="15.140625" style="9" hidden="1" customWidth="1"/>
    <col min="17" max="16384" width="15.140625" style="9" hidden="1"/>
  </cols>
  <sheetData>
    <row r="1" spans="1:15" s="20" customFormat="1" ht="25.8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154.64660270152598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4.8100164116579895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-4.0456510458980146</v>
      </c>
    </row>
    <row r="13" spans="1:15" x14ac:dyDescent="0.2">
      <c r="E13" s="9" t="str">
        <f xml:space="preserve"> RCV!E73</f>
        <v>RCV</v>
      </c>
      <c r="F13" s="51">
        <f xml:space="preserve"> RCV!F73</f>
        <v>2.7594017640408617</v>
      </c>
    </row>
    <row r="14" spans="1:15" x14ac:dyDescent="0.2">
      <c r="E14" s="9" t="str">
        <f xml:space="preserve"> RCV!E80</f>
        <v>Run-off rates</v>
      </c>
      <c r="F14" s="51">
        <f xml:space="preserve"> RCV!F80</f>
        <v>-3.861755177734195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2.5805975085782618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1.374928567885999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2.5339088069193094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2.6346252616671251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18.564583172035729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181.99725797067904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154.64660270152598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-0.3174716118285571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0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0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-5.0419725106761432E-2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-2.1503227023874718E-2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-0.13339112311854368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-2.8366343309121193E-2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0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0.21316398245349982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2.5805975085782618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1.374928567885999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2.5339088069193094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2.6346252616671251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18.564583172035729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181.99725797067904</v>
      </c>
    </row>
  </sheetData>
  <conditionalFormatting sqref="F2">
    <cfRule type="cellIs" dxfId="6" priority="3" stopIfTrue="1" operator="equal">
      <formula>""</formula>
    </cfRule>
  </conditionalFormatting>
  <conditionalFormatting sqref="F2:F3">
    <cfRule type="cellIs" dxfId="5" priority="1" stopIfTrue="1" operator="notEqual">
      <formula>0</formula>
    </cfRule>
  </conditionalFormatting>
  <conditionalFormatting sqref="J3:O3">
    <cfRule type="cellIs" dxfId="4" priority="4" operator="equal">
      <formula>"PPA ext."</formula>
    </cfRule>
    <cfRule type="cellIs" dxfId="3" priority="5" operator="equal">
      <formula>"Delay"</formula>
    </cfRule>
    <cfRule type="cellIs" dxfId="2" priority="6" operator="equal">
      <formula>"Fin Close"</formula>
    </cfRule>
    <cfRule type="cellIs" dxfId="1" priority="7" stopIfTrue="1" operator="equal">
      <formula>"Construction"</formula>
    </cfRule>
    <cfRule type="cellIs" dxfId="0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zoomScale="80" workbookViewId="0">
      <selection activeCell="B25" sqref="B25"/>
    </sheetView>
  </sheetViews>
  <sheetFormatPr defaultColWidth="0" defaultRowHeight="12.75" customHeight="1" zeroHeight="1" x14ac:dyDescent="0.2"/>
  <cols>
    <col min="1" max="1" width="8.7109375" style="31" customWidth="1"/>
    <col min="2" max="2" width="52.85546875" style="31" bestFit="1" customWidth="1"/>
    <col min="3" max="5" width="23.28515625" style="31" customWidth="1"/>
    <col min="6" max="9" width="8.7109375" style="31" hidden="1" customWidth="1"/>
    <col min="10" max="20" width="8.7109375" style="31" customWidth="1"/>
    <col min="21" max="21" width="51.7109375" style="31" customWidth="1"/>
    <col min="22" max="22" width="9" style="31" hidden="1" customWidth="1"/>
    <col min="23" max="42" width="8.7109375" style="31" customWidth="1"/>
    <col min="43" max="43" width="8.7109375" style="31" hidden="1" customWidth="1"/>
    <col min="44" max="16384" width="8.7109375" style="31" hidden="1"/>
  </cols>
  <sheetData>
    <row r="1" spans="1:42" s="44" customFormat="1" ht="25.8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41.4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2">
      <c r="A4" s="83"/>
      <c r="B4" s="41" t="s">
        <v>205</v>
      </c>
      <c r="C4" s="29">
        <f>OBXValues!F10</f>
        <v>154.64660270152598</v>
      </c>
      <c r="D4" s="29">
        <f>OBXValues!F10</f>
        <v>154.64660270152598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2">
      <c r="A5" s="83"/>
      <c r="B5" s="41" t="s">
        <v>118</v>
      </c>
      <c r="C5" s="107">
        <f>OBXValues!F11</f>
        <v>4.8100164116579895</v>
      </c>
      <c r="D5" s="29"/>
      <c r="E5" s="29">
        <f xml:space="preserve"> MAX(0,MIN(SUM(C$4:C4),SUM(C$4:C5)))+MIN(0,MAX(SUM(C$4:C4),SUM(C$4:C5)))</f>
        <v>154.64660270152598</v>
      </c>
      <c r="F5" s="28">
        <f xml:space="preserve"> MAX(0,MIN(SUM(C$4:C5),C5))</f>
        <v>4.8100164116579895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2">
      <c r="A6" s="83"/>
      <c r="B6" s="41" t="s">
        <v>206</v>
      </c>
      <c r="C6" s="107">
        <f>OBXValues!F12</f>
        <v>-4.0456510458980146</v>
      </c>
      <c r="D6" s="29"/>
      <c r="E6" s="29">
        <f xml:space="preserve"> MAX(0,MIN(SUM(C$4:C5),SUM(C$4:C6)))+MIN(0,MAX(SUM(C$4:C5),SUM(C$4:C6)))</f>
        <v>155.41096806728595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4.0456510458980146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2">
      <c r="A7" s="83"/>
      <c r="B7" s="41" t="s">
        <v>35</v>
      </c>
      <c r="C7" s="107">
        <f>OBXValues!F13</f>
        <v>2.7594017640408617</v>
      </c>
      <c r="D7" s="29"/>
      <c r="E7" s="29">
        <f xml:space="preserve"> MAX(0,MIN(SUM(C$4:C6),SUM(C$4:C7)))+MIN(0,MAX(SUM(C$4:C6),SUM(C$4:C7)))</f>
        <v>155.41096806728595</v>
      </c>
      <c r="F7" s="28">
        <f xml:space="preserve"> MAX(0,MIN(SUM(C$4:C7),C7))</f>
        <v>2.7594017640408617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2">
      <c r="A8" s="83"/>
      <c r="B8" s="41" t="s">
        <v>132</v>
      </c>
      <c r="C8" s="107">
        <f>OBXValues!F14</f>
        <v>-3.861755177734195</v>
      </c>
      <c r="D8" s="29"/>
      <c r="E8" s="29">
        <f xml:space="preserve"> MAX(0,MIN(SUM(C$4:C7),SUM(C$4:C8)))+MIN(0,MAX(SUM(C$4:C7),SUM(C$4:C8)))</f>
        <v>154.30861465359263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3.861755177734195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2">
      <c r="A9" s="83"/>
      <c r="B9" s="41" t="s">
        <v>139</v>
      </c>
      <c r="C9" s="107">
        <f>OBXValues!F15</f>
        <v>2.5805975085782618</v>
      </c>
      <c r="D9" s="29"/>
      <c r="E9" s="29">
        <f xml:space="preserve"> MAX(0,MIN(SUM(C$4:C8),SUM(C$4:C9)))+MIN(0,MAX(SUM(C$4:C8),SUM(C$4:C9)))</f>
        <v>154.30861465359263</v>
      </c>
      <c r="F9" s="28">
        <f xml:space="preserve"> MAX(0,MIN(SUM(C$4:C9),C9))</f>
        <v>2.5805975085782618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2">
      <c r="A10" s="83"/>
      <c r="B10" s="41" t="s">
        <v>144</v>
      </c>
      <c r="C10" s="107">
        <f>OBXValues!F16</f>
        <v>1.374928567885999</v>
      </c>
      <c r="D10" s="29"/>
      <c r="E10" s="29">
        <f xml:space="preserve"> MAX(0,MIN(SUM(C$4:C9),SUM(C$4:C10)))+MIN(0,MAX(SUM(C$4:C9),SUM(C$4:C10)))</f>
        <v>156.88921216217088</v>
      </c>
      <c r="F10" s="28">
        <f xml:space="preserve"> MAX(0,MIN(SUM(C$4:C10),C10))</f>
        <v>1.374928567885999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2">
      <c r="A11" s="83"/>
      <c r="B11" s="41" t="s">
        <v>55</v>
      </c>
      <c r="C11" s="107">
        <f>OBXValues!F17</f>
        <v>2.5339088069193094</v>
      </c>
      <c r="D11" s="29"/>
      <c r="E11" s="29">
        <f xml:space="preserve"> MAX(0,MIN(SUM(C$4:C10),SUM(C$4:C11)))+MIN(0,MAX(SUM(C$4:C10),SUM(C$4:C11)))</f>
        <v>158.26414073005688</v>
      </c>
      <c r="F11" s="28">
        <f xml:space="preserve"> MAX(0,MIN(SUM(C$4:C11),C11))</f>
        <v>2.5339088069193094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2">
      <c r="A12" s="83"/>
      <c r="B12" s="41" t="s">
        <v>159</v>
      </c>
      <c r="C12" s="107">
        <f>OBXValues!F18</f>
        <v>2.6346252616671251</v>
      </c>
      <c r="D12" s="29"/>
      <c r="E12" s="29">
        <f xml:space="preserve"> MAX(0,MIN(SUM(C$4:C11),SUM(C$4:C12)))+MIN(0,MAX(SUM(C$4:C11),SUM(C$4:C12)))</f>
        <v>160.79804953697618</v>
      </c>
      <c r="F12" s="28">
        <f xml:space="preserve"> MAX(0,MIN(SUM(C$4:C12),C12))</f>
        <v>2.6346252616671251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2">
      <c r="A13" s="83"/>
      <c r="B13" s="41" t="s">
        <v>163</v>
      </c>
      <c r="C13" s="107">
        <f>OBXValues!F19</f>
        <v>18.564583172035729</v>
      </c>
      <c r="D13" s="29"/>
      <c r="E13" s="29">
        <f xml:space="preserve"> MAX(0,MIN(SUM(C$4:C12),SUM(C$4:C13)))+MIN(0,MAX(SUM(C$4:C12),SUM(C$4:C13)))</f>
        <v>163.43267479864329</v>
      </c>
      <c r="F13" s="28">
        <f xml:space="preserve"> MAX(0,MIN(SUM(C$4:C13),C13))</f>
        <v>18.564583172035729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2">
      <c r="A14" s="83"/>
      <c r="B14" s="41" t="s">
        <v>51</v>
      </c>
      <c r="C14" s="29"/>
      <c r="D14" s="29">
        <f>SUM(C4:C13)</f>
        <v>181.99725797067902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2">
      <c r="A16" s="5"/>
      <c r="B16" s="31" t="s">
        <v>207</v>
      </c>
      <c r="C16" s="5">
        <f>OBXValues!F20</f>
        <v>181.99725797067904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2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2"/>
    <row r="68" spans="1:42" ht="9.75" customHeight="1" x14ac:dyDescent="0.2"/>
    <row r="69" spans="1:42" ht="9.75" customHeight="1" x14ac:dyDescent="0.2"/>
    <row r="70" spans="1:42" ht="9.75" customHeight="1" x14ac:dyDescent="0.2"/>
    <row r="71" spans="1:42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80" workbookViewId="0">
      <selection activeCell="D34" sqref="D34"/>
    </sheetView>
  </sheetViews>
  <sheetFormatPr defaultColWidth="0" defaultRowHeight="12.75" customHeight="1" zeroHeight="1" x14ac:dyDescent="0.2"/>
  <cols>
    <col min="1" max="1" width="8.7109375" style="31" customWidth="1"/>
    <col min="2" max="2" width="52.85546875" style="31" bestFit="1" customWidth="1"/>
    <col min="3" max="5" width="23.28515625" style="31" customWidth="1"/>
    <col min="6" max="9" width="8.7109375" style="31" hidden="1" customWidth="1"/>
    <col min="10" max="20" width="8.7109375" style="31" customWidth="1"/>
    <col min="21" max="21" width="51.7109375" style="31" customWidth="1"/>
    <col min="22" max="22" width="9" style="31" hidden="1" customWidth="1"/>
    <col min="23" max="43" width="8.7109375" style="31" customWidth="1"/>
    <col min="44" max="44" width="8.7109375" style="31" hidden="1" customWidth="1"/>
    <col min="45" max="16384" width="8.7109375" style="31" hidden="1"/>
  </cols>
  <sheetData>
    <row r="1" spans="1:43" s="44" customFormat="1" ht="25.8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41.4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2">
      <c r="A4" s="5"/>
      <c r="B4" s="41" t="s">
        <v>205</v>
      </c>
      <c r="C4" s="29">
        <f>OBXValues!F26</f>
        <v>154.64660270152598</v>
      </c>
      <c r="D4" s="29">
        <f>OBXValues!F26</f>
        <v>154.64660270152598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2">
      <c r="A5" s="5"/>
      <c r="B5" s="41" t="s">
        <v>187</v>
      </c>
      <c r="C5" s="106">
        <f>OBXValues!F27</f>
        <v>-0.3174716118285571</v>
      </c>
      <c r="D5" s="29"/>
      <c r="E5" s="29">
        <f xml:space="preserve"> MAX(0,MIN(SUM(C$4:C4),SUM(C$4:C5)))+MIN(0,MAX(SUM(C$4:C4),SUM(C$4:C5)))</f>
        <v>154.32913108969743</v>
      </c>
      <c r="F5" s="28">
        <f xml:space="preserve"> MAX(0,MIN(SUM(C$4:C5),C5))</f>
        <v>0</v>
      </c>
      <c r="G5" s="28">
        <f t="shared" ref="G5:G17" si="0" xml:space="preserve"> -MAX(0,C5-F5)</f>
        <v>0</v>
      </c>
      <c r="H5" s="28">
        <f t="shared" ref="H5:H17" si="1" xml:space="preserve"> MAX(0,I5-C5)</f>
        <v>0.3174716118285571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5"/>
      <c r="B6" s="41" t="s">
        <v>188</v>
      </c>
      <c r="C6" s="106">
        <f>OBXValues!F28</f>
        <v>0</v>
      </c>
      <c r="D6" s="29"/>
      <c r="E6" s="29">
        <f xml:space="preserve"> MAX(0,MIN(SUM(C$4:C5),SUM(C$4:C6)))+MIN(0,MAX(SUM(C$4:C5),SUM(C$4:C6)))</f>
        <v>154.32913108969743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2">
      <c r="A7" s="5"/>
      <c r="B7" s="41" t="s">
        <v>189</v>
      </c>
      <c r="C7" s="106">
        <f>OBXValues!F29</f>
        <v>0</v>
      </c>
      <c r="D7" s="29"/>
      <c r="E7" s="29">
        <f xml:space="preserve"> MAX(0,MIN(SUM(C$4:C6),SUM(C$4:C7)))+MIN(0,MAX(SUM(C$4:C6),SUM(C$4:C7)))</f>
        <v>154.32913108969743</v>
      </c>
      <c r="F7" s="28">
        <f xml:space="preserve"> MAX(0,MIN(SUM(C$4:C7),C7))</f>
        <v>0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2">
      <c r="A8" s="5"/>
      <c r="B8" s="41" t="s">
        <v>190</v>
      </c>
      <c r="C8" s="106">
        <f>OBXValues!F30</f>
        <v>-5.0419725106761432E-2</v>
      </c>
      <c r="D8" s="29"/>
      <c r="E8" s="29">
        <f xml:space="preserve"> MAX(0,MIN(SUM(C$4:C7),SUM(C$4:C8)))+MIN(0,MAX(SUM(C$4:C7),SUM(C$4:C8)))</f>
        <v>154.27871136459066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5.0419725106761432E-2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2">
      <c r="A9" s="5"/>
      <c r="B9" s="41" t="s">
        <v>209</v>
      </c>
      <c r="C9" s="106">
        <f>OBXValues!F31</f>
        <v>-2.1503227023874718E-2</v>
      </c>
      <c r="D9" s="29"/>
      <c r="E9" s="29">
        <f xml:space="preserve"> MAX(0,MIN(SUM(C$4:C8),SUM(C$4:C9)))+MIN(0,MAX(SUM(C$4:C8),SUM(C$4:C9)))</f>
        <v>154.25720813756678</v>
      </c>
      <c r="F9" s="28">
        <f xml:space="preserve"> MAX(0,MIN(SUM(C$4:C9),C9))</f>
        <v>0</v>
      </c>
      <c r="G9" s="28">
        <f t="shared" si="0"/>
        <v>0</v>
      </c>
      <c r="H9" s="28">
        <f t="shared" si="1"/>
        <v>2.1503227023874718E-2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2">
      <c r="A10" s="5"/>
      <c r="B10" s="41" t="s">
        <v>192</v>
      </c>
      <c r="C10" s="106">
        <f>OBXValues!F32</f>
        <v>-0.13339112311854368</v>
      </c>
      <c r="D10" s="29"/>
      <c r="E10" s="29">
        <f xml:space="preserve"> MAX(0,MIN(SUM(C$4:C9),SUM(C$4:C10)))+MIN(0,MAX(SUM(C$4:C9),SUM(C$4:C10)))</f>
        <v>154.12381701444824</v>
      </c>
      <c r="F10" s="28">
        <f xml:space="preserve"> MAX(0,MIN(SUM(C$4:C10),C10))</f>
        <v>0</v>
      </c>
      <c r="G10" s="28">
        <f t="shared" si="0"/>
        <v>0</v>
      </c>
      <c r="H10" s="28">
        <f t="shared" si="1"/>
        <v>0.13339112311854368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2">
      <c r="A11" s="5"/>
      <c r="B11" s="41" t="s">
        <v>193</v>
      </c>
      <c r="C11" s="106">
        <f>OBXValues!F33+OBXValues!F34</f>
        <v>-2.8366343309121193E-2</v>
      </c>
      <c r="D11" s="29"/>
      <c r="E11" s="29">
        <f xml:space="preserve"> MAX(0,MIN(SUM(C$4:C10),SUM(C$4:C11)))+MIN(0,MAX(SUM(C$4:C10),SUM(C$4:C11)))</f>
        <v>154.0954506711391</v>
      </c>
      <c r="F11" s="28">
        <f xml:space="preserve"> MAX(0,MIN(SUM(C$4:C11),C11))</f>
        <v>0</v>
      </c>
      <c r="G11" s="28">
        <f t="shared" si="0"/>
        <v>0</v>
      </c>
      <c r="H11" s="28">
        <f t="shared" si="1"/>
        <v>2.8366343309121193E-2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2">
      <c r="A12" s="5"/>
      <c r="B12" s="41" t="s">
        <v>195</v>
      </c>
      <c r="C12" s="106">
        <f>OBXValues!F35</f>
        <v>0.21316398245349982</v>
      </c>
      <c r="D12" s="29"/>
      <c r="E12" s="29">
        <f xml:space="preserve"> MAX(0,MIN(SUM(C$4:C11),SUM(C$4:C12)))+MIN(0,MAX(SUM(C$4:C11),SUM(C$4:C12)))</f>
        <v>154.0954506711391</v>
      </c>
      <c r="F12" s="28">
        <f xml:space="preserve"> MAX(0,MIN(SUM(C$4:C12),C12))</f>
        <v>0.21316398245349982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2">
      <c r="A13" s="5"/>
      <c r="B13" s="41" t="s">
        <v>139</v>
      </c>
      <c r="C13" s="107">
        <f>OBXValues!F36</f>
        <v>2.5805975085782618</v>
      </c>
      <c r="D13" s="29"/>
      <c r="E13" s="29">
        <f xml:space="preserve"> MAX(0,MIN(SUM(C$4:C12),SUM(C$4:C13)))+MIN(0,MAX(SUM(C$4:C12),SUM(C$4:C13)))</f>
        <v>154.3086146535926</v>
      </c>
      <c r="F13" s="28">
        <f xml:space="preserve"> MAX(0,MIN(SUM(C$4:C13),C13))</f>
        <v>2.5805975085782618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2">
      <c r="A14" s="5"/>
      <c r="B14" s="41" t="s">
        <v>144</v>
      </c>
      <c r="C14" s="107">
        <f>OBXValues!F37</f>
        <v>1.374928567885999</v>
      </c>
      <c r="D14" s="29"/>
      <c r="E14" s="29">
        <f xml:space="preserve"> MAX(0,MIN(SUM(C$4:C13),SUM(C$4:C14)))+MIN(0,MAX(SUM(C$4:C13),SUM(C$4:C14)))</f>
        <v>156.88921216217085</v>
      </c>
      <c r="F14" s="28">
        <f xml:space="preserve"> MAX(0,MIN(SUM(C$4:C14),C14))</f>
        <v>1.374928567885999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2">
      <c r="A15" s="5"/>
      <c r="B15" s="41" t="s">
        <v>55</v>
      </c>
      <c r="C15" s="107">
        <f>OBXValues!F38</f>
        <v>2.5339088069193094</v>
      </c>
      <c r="D15" s="29"/>
      <c r="E15" s="29">
        <f xml:space="preserve"> MAX(0,MIN(SUM(C$4:C14),SUM(C$4:C15)))+MIN(0,MAX(SUM(C$4:C14),SUM(C$4:C15)))</f>
        <v>158.26414073005685</v>
      </c>
      <c r="F15" s="28">
        <f xml:space="preserve"> MAX(0,MIN(SUM(C$4:C15),C15))</f>
        <v>2.5339088069193094</v>
      </c>
      <c r="G15" s="28">
        <f t="shared" si="0"/>
        <v>0</v>
      </c>
      <c r="H15" s="28">
        <f t="shared" si="1"/>
        <v>0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2">
      <c r="A16" s="5"/>
      <c r="B16" s="41" t="s">
        <v>159</v>
      </c>
      <c r="C16" s="107">
        <f>OBXValues!F39</f>
        <v>2.6346252616671251</v>
      </c>
      <c r="D16" s="29"/>
      <c r="E16" s="29">
        <f xml:space="preserve"> MAX(0,MIN(SUM(C$4:C15),SUM(C$4:C16)))+MIN(0,MAX(SUM(C$4:C15),SUM(C$4:C16)))</f>
        <v>160.79804953697615</v>
      </c>
      <c r="F16" s="28">
        <f xml:space="preserve"> MAX(0,MIN(SUM(C$4:C16),C16))</f>
        <v>2.6346252616671251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2">
      <c r="A17" s="5"/>
      <c r="B17" s="41" t="s">
        <v>163</v>
      </c>
      <c r="C17" s="107">
        <f>OBXValues!F40</f>
        <v>18.564583172035729</v>
      </c>
      <c r="D17" s="29"/>
      <c r="E17" s="29">
        <f xml:space="preserve"> MAX(0,MIN(SUM(C$4:C16),SUM(C$4:C17)))+MIN(0,MAX(SUM(C$4:C16),SUM(C$4:C17)))</f>
        <v>163.43267479864329</v>
      </c>
      <c r="F17" s="28">
        <f xml:space="preserve"> MAX(0,MIN(SUM(C$4:C17),C17))</f>
        <v>18.564583172035729</v>
      </c>
      <c r="G17" s="28">
        <f t="shared" si="0"/>
        <v>0</v>
      </c>
      <c r="H17" s="28">
        <f t="shared" si="1"/>
        <v>0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2">
      <c r="A18" s="5"/>
      <c r="B18" s="41" t="s">
        <v>51</v>
      </c>
      <c r="C18" s="29"/>
      <c r="D18" s="29">
        <f>SUM(C4:C17)</f>
        <v>181.99725797067902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2">
      <c r="A20" s="5"/>
      <c r="B20" s="31" t="s">
        <v>207</v>
      </c>
      <c r="C20" s="5">
        <f>OBXValues!F41</f>
        <v>181.99725797067904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2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199999999999999" x14ac:dyDescent="0.2"/>
  <cols>
    <col min="1" max="1" width="49.85546875" style="31" bestFit="1" customWidth="1"/>
    <col min="2" max="2" width="17.28515625" style="31" bestFit="1" customWidth="1"/>
    <col min="3" max="3" width="10.28515625" style="31" bestFit="1" customWidth="1"/>
    <col min="4" max="4" width="10.42578125" style="31" bestFit="1" customWidth="1"/>
    <col min="5" max="5" width="14.42578125" style="31" bestFit="1" customWidth="1"/>
    <col min="6" max="6" width="21.140625" style="31" bestFit="1" customWidth="1"/>
    <col min="7" max="7" width="17.42578125" style="31" bestFit="1" customWidth="1"/>
    <col min="8" max="8" width="14.28515625" style="31" bestFit="1" customWidth="1"/>
    <col min="9" max="9" width="17.7109375" style="31" bestFit="1" customWidth="1"/>
    <col min="10" max="10" width="51.7109375" style="31" bestFit="1" customWidth="1"/>
    <col min="11" max="12" width="13" style="31" bestFit="1" customWidth="1"/>
    <col min="13" max="13" width="9.140625" style="31" hidden="1" customWidth="1"/>
    <col min="14" max="16384" width="9.140625" style="31" hidden="1"/>
  </cols>
  <sheetData>
    <row r="1" spans="1:12" x14ac:dyDescent="0.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102.28672441595673</v>
      </c>
      <c r="I4" s="31">
        <v>0</v>
      </c>
      <c r="J4" s="31" t="s">
        <v>224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148.27862667053029</v>
      </c>
      <c r="I5" s="31">
        <v>0</v>
      </c>
      <c r="J5" s="31" t="s">
        <v>225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64.999238188899113</v>
      </c>
      <c r="I6" s="31">
        <v>0</v>
      </c>
      <c r="J6" s="31" t="s">
        <v>226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90.633106078649021</v>
      </c>
      <c r="I7" s="31">
        <v>0</v>
      </c>
      <c r="J7" s="31" t="s">
        <v>227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110.79951620337623</v>
      </c>
      <c r="I8" s="31">
        <v>0</v>
      </c>
      <c r="J8" s="31" t="s">
        <v>228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153.17491321954992</v>
      </c>
      <c r="I9" s="31">
        <v>0</v>
      </c>
      <c r="J9" s="31" t="s">
        <v>229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137.82682400111042</v>
      </c>
      <c r="I10" s="31">
        <v>0</v>
      </c>
      <c r="J10" s="31" t="s">
        <v>230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142.68694205653716</v>
      </c>
      <c r="I11" s="31">
        <v>0</v>
      </c>
      <c r="J11" s="31" t="s">
        <v>231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410.77345208190934</v>
      </c>
      <c r="I12" s="31">
        <v>0</v>
      </c>
      <c r="J12" s="31" t="s">
        <v>232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634.44955880257612</v>
      </c>
      <c r="I13" s="31">
        <v>0</v>
      </c>
      <c r="J13" s="31" t="s">
        <v>233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765.87456609774961</v>
      </c>
      <c r="I16" s="31">
        <v>0</v>
      </c>
      <c r="J16" s="31" t="s">
        <v>236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553.9975810168811</v>
      </c>
      <c r="I17" s="31">
        <v>0</v>
      </c>
      <c r="J17" s="31" t="s">
        <v>237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765.87456609774961</v>
      </c>
      <c r="I18" s="31">
        <v>0</v>
      </c>
      <c r="J18" s="31" t="s">
        <v>238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55.417220490188981</v>
      </c>
      <c r="I19" s="31">
        <v>0</v>
      </c>
      <c r="J19" s="31" t="s">
        <v>239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112.3314659465846</v>
      </c>
      <c r="I20" s="31">
        <v>0</v>
      </c>
      <c r="J20" s="31" t="s">
        <v>240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154.64660270152598</v>
      </c>
      <c r="I21" s="31">
        <v>0</v>
      </c>
      <c r="J21" s="31" t="s">
        <v>241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181.99725797067904</v>
      </c>
      <c r="I22" s="31">
        <v>0</v>
      </c>
      <c r="J22" s="31" t="s">
        <v>242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-3.3205870665163184</v>
      </c>
      <c r="I23" s="31">
        <v>0</v>
      </c>
      <c r="J23" s="31" t="s">
        <v>243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21.069831781453761</v>
      </c>
      <c r="I24" s="31">
        <v>0</v>
      </c>
      <c r="J24" s="31" t="s">
        <v>244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9.6920751807261958</v>
      </c>
      <c r="I25" s="31">
        <v>0</v>
      </c>
      <c r="J25" s="31" t="s">
        <v>245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1.2070934995444227</v>
      </c>
      <c r="I27" s="31">
        <v>0</v>
      </c>
      <c r="J27" s="31" t="s">
        <v>247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6.6959650493472562</v>
      </c>
      <c r="I28" s="31">
        <v>0</v>
      </c>
      <c r="J28" s="31" t="s">
        <v>248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0</v>
      </c>
      <c r="I29" s="31">
        <v>0</v>
      </c>
      <c r="J29" s="31" t="s">
        <v>249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250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0.78238737533491653</v>
      </c>
      <c r="I31" s="31">
        <v>0</v>
      </c>
      <c r="J31" s="31" t="s">
        <v>251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0.79371317403933228</v>
      </c>
      <c r="I32" s="31">
        <v>0</v>
      </c>
      <c r="J32" s="31" t="s">
        <v>252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375.05899457663082</v>
      </c>
      <c r="I33" s="31">
        <v>0</v>
      </c>
      <c r="J33" s="31" t="s">
        <v>253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339.90922090672399</v>
      </c>
      <c r="I34" s="31">
        <v>0</v>
      </c>
      <c r="J34" s="31" t="s">
        <v>254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440.95750081483828</v>
      </c>
      <c r="I35" s="31">
        <v>0</v>
      </c>
      <c r="J35" s="31" t="s">
        <v>255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268.64224504329849</v>
      </c>
      <c r="I36" s="31">
        <v>0</v>
      </c>
      <c r="J36" s="31" t="s">
        <v>256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12.797119716546492</v>
      </c>
      <c r="I37" s="31">
        <v>0</v>
      </c>
      <c r="J37" s="31" t="s">
        <v>257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14.57055961846485</v>
      </c>
      <c r="I38" s="31">
        <v>0</v>
      </c>
      <c r="J38" s="31" t="s">
        <v>258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410.32218817829272</v>
      </c>
      <c r="I39" s="31">
        <v>0</v>
      </c>
      <c r="J39" s="31" t="s">
        <v>259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591.28303298629646</v>
      </c>
      <c r="I40" s="31">
        <v>0</v>
      </c>
      <c r="J40" s="31" t="s">
        <v>260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0</v>
      </c>
      <c r="I41" s="31">
        <v>0</v>
      </c>
      <c r="J41" s="31" t="s">
        <v>261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0</v>
      </c>
      <c r="I42" s="31">
        <v>0</v>
      </c>
      <c r="J42" s="31" t="s">
        <v>262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0</v>
      </c>
      <c r="I43" s="31">
        <v>0</v>
      </c>
      <c r="J43" s="31" t="s">
        <v>263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0</v>
      </c>
      <c r="I44" s="31">
        <v>0</v>
      </c>
      <c r="J44" s="31" t="s">
        <v>264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1.8729</v>
      </c>
      <c r="I45" s="31">
        <v>0</v>
      </c>
      <c r="J45" s="31" t="s">
        <v>265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19.179636971849003</v>
      </c>
      <c r="I46" s="31">
        <v>0</v>
      </c>
      <c r="J46" s="31" t="s">
        <v>266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7.236770480101276</v>
      </c>
      <c r="I48" s="31">
        <v>0</v>
      </c>
      <c r="J48" s="31" t="s">
        <v>268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17.258942730839912</v>
      </c>
      <c r="I49" s="31">
        <v>0</v>
      </c>
      <c r="J49" s="31" t="s">
        <v>269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65.268392899072893</v>
      </c>
      <c r="I50" s="31">
        <v>0</v>
      </c>
      <c r="J50" s="31" t="s">
        <v>270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8.778913794483147</v>
      </c>
      <c r="I51" s="31">
        <v>0</v>
      </c>
      <c r="J51" s="31" t="s">
        <v>271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19.911185327734003</v>
      </c>
      <c r="I52" s="31">
        <v>0</v>
      </c>
      <c r="J52" s="31" t="s">
        <v>272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0</v>
      </c>
      <c r="I54" s="31">
        <v>0</v>
      </c>
      <c r="J54" s="31" t="s">
        <v>274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93.384677376167886</v>
      </c>
      <c r="I55" s="31">
        <v>0</v>
      </c>
      <c r="J55" s="31" t="s">
        <v>275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38.514114687597896</v>
      </c>
      <c r="I56" s="31">
        <v>0</v>
      </c>
      <c r="J56" s="31" t="s">
        <v>276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2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120.76311258608676</v>
      </c>
      <c r="I109" s="31">
        <v>0</v>
      </c>
      <c r="J109" s="31" t="s">
        <v>285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76.740264821613252</v>
      </c>
      <c r="I110" s="31">
        <v>0</v>
      </c>
      <c r="J110" s="31" t="s">
        <v>286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13.892841257035769</v>
      </c>
      <c r="I111" s="31">
        <v>0</v>
      </c>
      <c r="J111" s="31" t="s">
        <v>287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0.63546113691718953</v>
      </c>
      <c r="I112" s="31">
        <v>0</v>
      </c>
      <c r="J112" s="31" t="s">
        <v>288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0.61123513289634446</v>
      </c>
      <c r="I113" s="31">
        <v>0</v>
      </c>
      <c r="J113" s="31" t="s">
        <v>289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-2.4226004020845071E-2</v>
      </c>
      <c r="I114" s="31">
        <v>0</v>
      </c>
      <c r="J114" s="31" t="s">
        <v>290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-3.5921986059256521</v>
      </c>
      <c r="I115" s="31">
        <v>0</v>
      </c>
      <c r="J115" s="31" t="s">
        <v>291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17.485039862961422</v>
      </c>
      <c r="I116" s="31">
        <v>0</v>
      </c>
      <c r="J116" s="31" t="s">
        <v>292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130.81359801238204</v>
      </c>
      <c r="I117" s="31">
        <v>0</v>
      </c>
      <c r="J117" s="31" t="s">
        <v>293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31.51257499412683</v>
      </c>
      <c r="I118" s="31">
        <v>0</v>
      </c>
      <c r="J118" s="31" t="s">
        <v>294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0.19520609904448274</v>
      </c>
      <c r="I119" s="31">
        <v>0</v>
      </c>
      <c r="J119" s="31" t="s">
        <v>295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19.578419155484347</v>
      </c>
      <c r="I120" s="31">
        <v>0</v>
      </c>
      <c r="J120" s="31" t="s">
        <v>296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3.8218268287998756</v>
      </c>
      <c r="I121" s="31">
        <v>0</v>
      </c>
      <c r="J121" s="31" t="s">
        <v>297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4.8100164116579895</v>
      </c>
      <c r="I122" s="31">
        <v>0</v>
      </c>
      <c r="J122" s="31" t="s">
        <v>298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19.578419155484347</v>
      </c>
      <c r="I123" s="31">
        <v>0</v>
      </c>
      <c r="J123" s="31" t="s">
        <v>299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0.76436536575997505</v>
      </c>
      <c r="I124" s="31">
        <v>0</v>
      </c>
      <c r="J124" s="31" t="s">
        <v>300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-4.0456510458980146</v>
      </c>
      <c r="I125" s="31">
        <v>0</v>
      </c>
      <c r="J125" s="31" t="s">
        <v>301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484.97281464812016</v>
      </c>
      <c r="I126" s="31">
        <v>0</v>
      </c>
      <c r="J126" s="31" t="s">
        <v>302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162.72293750011158</v>
      </c>
      <c r="I127" s="31">
        <v>0</v>
      </c>
      <c r="J127" s="31" t="s">
        <v>303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-20.035995443574421</v>
      </c>
      <c r="I128" s="31">
        <v>0</v>
      </c>
      <c r="J128" s="31" t="s">
        <v>304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0.33553001856027298</v>
      </c>
      <c r="I129" s="31">
        <v>0</v>
      </c>
      <c r="J129" s="31" t="s">
        <v>305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0.22489879625077894</v>
      </c>
      <c r="I130" s="31">
        <v>0</v>
      </c>
      <c r="J130" s="31" t="s">
        <v>306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-0.11063122230949404</v>
      </c>
      <c r="I131" s="31">
        <v>0</v>
      </c>
      <c r="J131" s="31" t="s">
        <v>307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-70.189930184048208</v>
      </c>
      <c r="I132" s="31">
        <v>0</v>
      </c>
      <c r="J132" s="31" t="s">
        <v>308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50.153934740473787</v>
      </c>
      <c r="I133" s="31">
        <v>0</v>
      </c>
      <c r="J133" s="31" t="s">
        <v>309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-28.235629396039862</v>
      </c>
      <c r="I134" s="31">
        <v>0</v>
      </c>
      <c r="J134" s="31" t="s">
        <v>310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-1.1023534136933331</v>
      </c>
      <c r="I135" s="31">
        <v>0</v>
      </c>
      <c r="J135" s="31" t="s">
        <v>311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2.7594017640408617</v>
      </c>
      <c r="I136" s="31">
        <v>0</v>
      </c>
      <c r="J136" s="31" t="s">
        <v>312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-3.861755177734195</v>
      </c>
      <c r="I137" s="31">
        <v>0</v>
      </c>
      <c r="J137" s="31" t="s">
        <v>313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27.350655269153066</v>
      </c>
      <c r="I139" s="31">
        <v>0</v>
      </c>
      <c r="J139" s="31" t="s">
        <v>315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6.1514468354502121</v>
      </c>
      <c r="I140" s="31">
        <v>0</v>
      </c>
      <c r="J140" s="31" t="s">
        <v>316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654.06799006191022</v>
      </c>
      <c r="I141" s="31">
        <v>0</v>
      </c>
      <c r="J141" s="31" t="s">
        <v>317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157.56287497063417</v>
      </c>
      <c r="I142" s="31">
        <v>0</v>
      </c>
      <c r="J142" s="31" t="s">
        <v>318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3.9041219808896542E-2</v>
      </c>
      <c r="I143" s="31">
        <v>0</v>
      </c>
      <c r="J143" s="31" t="s">
        <v>319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65.427415683483147</v>
      </c>
      <c r="I144" s="31">
        <v>0</v>
      </c>
      <c r="J144" s="31" t="s">
        <v>320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66.09930532934338</v>
      </c>
      <c r="I145" s="31">
        <v>0</v>
      </c>
      <c r="J145" s="31" t="s">
        <v>321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2.5805975085782618</v>
      </c>
      <c r="I146" s="31">
        <v>0</v>
      </c>
      <c r="J146" s="31" t="s">
        <v>322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-3.9203956530556083</v>
      </c>
      <c r="I147" s="31">
        <v>0</v>
      </c>
      <c r="J147" s="31" t="s">
        <v>323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35.217356799202427</v>
      </c>
      <c r="I148" s="31">
        <v>0</v>
      </c>
      <c r="J148" s="31" t="s">
        <v>324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1.374928567885999</v>
      </c>
      <c r="I149" s="31">
        <v>0</v>
      </c>
      <c r="J149" s="31" t="s">
        <v>325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11.442786665874163</v>
      </c>
      <c r="I150" s="31">
        <v>0</v>
      </c>
      <c r="J150" s="31" t="s">
        <v>326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-16.125691606662166</v>
      </c>
      <c r="I151" s="31">
        <v>0</v>
      </c>
      <c r="J151" s="31" t="s">
        <v>327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-0.62956667058617566</v>
      </c>
      <c r="I152" s="31">
        <v>0</v>
      </c>
      <c r="J152" s="31" t="s">
        <v>328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1.4251347769689269</v>
      </c>
      <c r="I153" s="31">
        <v>0</v>
      </c>
      <c r="J153" s="31" t="s">
        <v>329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7.427891995654794</v>
      </c>
      <c r="I154" s="31">
        <v>0</v>
      </c>
      <c r="J154" s="31" t="s">
        <v>330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0.289993964119102</v>
      </c>
      <c r="I155" s="31">
        <v>0</v>
      </c>
      <c r="J155" s="31" t="s">
        <v>331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0</v>
      </c>
      <c r="I156" s="31">
        <v>0</v>
      </c>
      <c r="J156" s="31" t="s">
        <v>332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0</v>
      </c>
      <c r="I157" s="31">
        <v>0</v>
      </c>
      <c r="J157" s="31" t="s">
        <v>333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0</v>
      </c>
      <c r="I158" s="31">
        <v>0</v>
      </c>
      <c r="J158" s="31" t="s">
        <v>334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2.5339088069193094</v>
      </c>
      <c r="I159" s="31">
        <v>0</v>
      </c>
      <c r="J159" s="31" t="s">
        <v>335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2.8734815133863831</v>
      </c>
      <c r="I160" s="31">
        <v>0</v>
      </c>
      <c r="J160" s="31" t="s">
        <v>336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714.96821548335481</v>
      </c>
      <c r="I161" s="31">
        <v>0</v>
      </c>
      <c r="J161" s="31" t="s">
        <v>337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709.59974585813677</v>
      </c>
      <c r="I162" s="31">
        <v>0</v>
      </c>
      <c r="J162" s="31" t="s">
        <v>338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17.898865207448402</v>
      </c>
      <c r="I163" s="31">
        <v>0</v>
      </c>
      <c r="J163" s="31" t="s">
        <v>339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20.533490469115527</v>
      </c>
      <c r="I164" s="31">
        <v>0</v>
      </c>
      <c r="J164" s="31" t="s">
        <v>340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2.6346252616671251</v>
      </c>
      <c r="I165" s="31">
        <v>0</v>
      </c>
      <c r="J165" s="31" t="s">
        <v>341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1.0942967231151429E-3</v>
      </c>
      <c r="I166" s="31">
        <v>0</v>
      </c>
      <c r="J166" s="31" t="s">
        <v>342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1.1185364406796328E-3</v>
      </c>
      <c r="I167" s="31">
        <v>0</v>
      </c>
      <c r="J167" s="31" t="s">
        <v>343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18.564583172035729</v>
      </c>
      <c r="I168" s="31">
        <v>0</v>
      </c>
      <c r="J168" s="31" t="s">
        <v>344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-0.33798804793335835</v>
      </c>
      <c r="I169" s="31">
        <v>0</v>
      </c>
      <c r="J169" s="31" t="s">
        <v>345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106.8429955280771</v>
      </c>
      <c r="I170" s="31">
        <v>0</v>
      </c>
      <c r="J170" s="31" t="s">
        <v>346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0</v>
      </c>
      <c r="I171" s="31">
        <v>0</v>
      </c>
      <c r="J171" s="31" t="s">
        <v>347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0</v>
      </c>
      <c r="I172" s="31">
        <v>0</v>
      </c>
      <c r="J172" s="31" t="s">
        <v>348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16.968428871737057</v>
      </c>
      <c r="I173" s="31">
        <v>0</v>
      </c>
      <c r="J173" s="31" t="s">
        <v>349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7.236770480101276</v>
      </c>
      <c r="I174" s="31">
        <v>0</v>
      </c>
      <c r="J174" s="31" t="s">
        <v>350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44.891910456976994</v>
      </c>
      <c r="I175" s="31">
        <v>0</v>
      </c>
      <c r="J175" s="31" t="s">
        <v>351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9.5465073990962566</v>
      </c>
      <c r="I176" s="31">
        <v>0</v>
      </c>
      <c r="J176" s="31" t="s">
        <v>352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0</v>
      </c>
      <c r="I177" s="31">
        <v>0</v>
      </c>
      <c r="J177" s="31" t="s">
        <v>353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-71.738944760596468</v>
      </c>
      <c r="I178" s="31">
        <v>0</v>
      </c>
      <c r="J178" s="31" t="s">
        <v>354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113.7476679753922</v>
      </c>
      <c r="I179" s="31">
        <v>0</v>
      </c>
      <c r="J179" s="31" t="s">
        <v>355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0.93929833841684696</v>
      </c>
      <c r="I180" s="31">
        <v>0</v>
      </c>
      <c r="J180" s="31" t="s">
        <v>356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0</v>
      </c>
      <c r="I181" s="31">
        <v>0</v>
      </c>
      <c r="J181" s="31" t="s">
        <v>357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0</v>
      </c>
      <c r="I182" s="31">
        <v>0</v>
      </c>
      <c r="J182" s="31" t="s">
        <v>358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0.14917605937563441</v>
      </c>
      <c r="I183" s="31">
        <v>0</v>
      </c>
      <c r="J183" s="31" t="s">
        <v>359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6.3621264584227386E-2</v>
      </c>
      <c r="I184" s="31">
        <v>0</v>
      </c>
      <c r="J184" s="31" t="s">
        <v>360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0.3946622489587106</v>
      </c>
      <c r="I185" s="31">
        <v>0</v>
      </c>
      <c r="J185" s="31" t="s">
        <v>361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8.3927060387396391E-2</v>
      </c>
      <c r="I186" s="31">
        <v>0</v>
      </c>
      <c r="J186" s="31" t="s">
        <v>362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</v>
      </c>
      <c r="I187" s="31">
        <v>0</v>
      </c>
      <c r="J187" s="31" t="s">
        <v>363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-0.63068497172281579</v>
      </c>
      <c r="I188" s="31">
        <v>0</v>
      </c>
      <c r="J188" s="31" t="s">
        <v>364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-0.3174716118285571</v>
      </c>
      <c r="I189" s="31">
        <v>0</v>
      </c>
      <c r="J189" s="31" t="s">
        <v>365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0</v>
      </c>
      <c r="I190" s="31">
        <v>0</v>
      </c>
      <c r="J190" s="31" t="s">
        <v>366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0</v>
      </c>
      <c r="I191" s="31">
        <v>0</v>
      </c>
      <c r="J191" s="31" t="s">
        <v>367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-5.0419725106761432E-2</v>
      </c>
      <c r="I192" s="31">
        <v>0</v>
      </c>
      <c r="J192" s="31" t="s">
        <v>368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-2.1503227023874718E-2</v>
      </c>
      <c r="I193" s="31">
        <v>0</v>
      </c>
      <c r="J193" s="31" t="s">
        <v>369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-0.13339112311854368</v>
      </c>
      <c r="I194" s="31">
        <v>0</v>
      </c>
      <c r="J194" s="31" t="s">
        <v>370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-2.8366343309121193E-2</v>
      </c>
      <c r="I195" s="31">
        <v>0</v>
      </c>
      <c r="J195" s="31" t="s">
        <v>371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0</v>
      </c>
      <c r="I196" s="31">
        <v>0</v>
      </c>
      <c r="J196" s="31" t="s">
        <v>372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0.21316398245349982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workbookViewId="0">
      <selection activeCell="B8" sqref="B8"/>
    </sheetView>
  </sheetViews>
  <sheetFormatPr defaultColWidth="0" defaultRowHeight="13.5" customHeight="1" zeroHeight="1" x14ac:dyDescent="0.2"/>
  <cols>
    <col min="1" max="1" width="12.85546875" style="40" bestFit="1" customWidth="1"/>
    <col min="2" max="2" width="83.85546875" style="40" bestFit="1" customWidth="1"/>
    <col min="3" max="3" width="17" style="40" customWidth="1"/>
    <col min="4" max="10" width="11.7109375" style="40" customWidth="1"/>
    <col min="11" max="14" width="11.7109375" style="40" hidden="1" customWidth="1"/>
    <col min="15" max="16384" width="11.7109375" style="40" hidden="1"/>
  </cols>
  <sheetData>
    <row r="1" spans="1:10" ht="31.2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.8" x14ac:dyDescent="0.2"/>
    <row r="3" spans="1:10" s="65" customFormat="1" ht="23.4" x14ac:dyDescent="0.2">
      <c r="B3" s="61" t="s">
        <v>2</v>
      </c>
    </row>
    <row r="4" spans="1:10" ht="13.8" x14ac:dyDescent="0.2"/>
    <row r="5" spans="1:10" ht="13.8" x14ac:dyDescent="0.2">
      <c r="B5" s="40" t="s">
        <v>3</v>
      </c>
      <c r="C5" s="59">
        <v>1</v>
      </c>
    </row>
    <row r="6" spans="1:10" ht="13.8" x14ac:dyDescent="0.2">
      <c r="B6" s="40" t="s">
        <v>4</v>
      </c>
      <c r="C6" s="59" t="s">
        <v>5</v>
      </c>
    </row>
    <row r="7" spans="1:10" ht="13.8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PR24-Bill-Waterfall-Model-v3_9.0c.xlsx</v>
      </c>
    </row>
    <row r="8" spans="1:10" ht="13.8" x14ac:dyDescent="0.2">
      <c r="B8" s="40" t="s">
        <v>7</v>
      </c>
      <c r="C8" s="103">
        <v>45121</v>
      </c>
    </row>
    <row r="9" spans="1:10" ht="13.8" x14ac:dyDescent="0.2"/>
    <row r="10" spans="1:10" ht="13.8" x14ac:dyDescent="0.2">
      <c r="B10" s="40" t="s">
        <v>8</v>
      </c>
      <c r="C10" s="57" t="s">
        <v>9</v>
      </c>
    </row>
    <row r="11" spans="1:10" ht="13.8" x14ac:dyDescent="0.2"/>
    <row r="12" spans="1:10" ht="13.8" x14ac:dyDescent="0.2"/>
    <row r="13" spans="1:10" ht="13.8" x14ac:dyDescent="0.2"/>
    <row r="14" spans="1:10" ht="13.8" x14ac:dyDescent="0.2"/>
    <row r="15" spans="1:10" ht="13.8" x14ac:dyDescent="0.2"/>
    <row r="16" spans="1:10" ht="13.8" x14ac:dyDescent="0.2"/>
    <row r="17" s="40" customFormat="1" ht="13.8" x14ac:dyDescent="0.2"/>
    <row r="18" s="40" customFormat="1" ht="13.8" x14ac:dyDescent="0.2"/>
    <row r="19" s="40" customFormat="1" ht="13.8" x14ac:dyDescent="0.2"/>
    <row r="20" s="40" customFormat="1" ht="13.8" x14ac:dyDescent="0.2"/>
    <row r="21" s="40" customFormat="1" ht="13.8" x14ac:dyDescent="0.2"/>
    <row r="22" s="40" customFormat="1" ht="13.8" x14ac:dyDescent="0.2"/>
    <row r="23" s="40" customFormat="1" ht="13.8" x14ac:dyDescent="0.2"/>
    <row r="24" s="40" customFormat="1" ht="13.8" x14ac:dyDescent="0.2"/>
    <row r="25" s="40" customFormat="1" ht="13.8" x14ac:dyDescent="0.2"/>
    <row r="26" s="40" customFormat="1" ht="13.8" x14ac:dyDescent="0.2"/>
    <row r="27" s="40" customFormat="1" ht="13.8" x14ac:dyDescent="0.2"/>
    <row r="28" s="40" customFormat="1" ht="13.8" x14ac:dyDescent="0.2"/>
    <row r="29" s="40" customFormat="1" ht="13.8" x14ac:dyDescent="0.2"/>
    <row r="30" s="40" customFormat="1" ht="13.8" x14ac:dyDescent="0.2"/>
    <row r="31" s="40" customFormat="1" ht="13.8" x14ac:dyDescent="0.2"/>
    <row r="32" s="40" customFormat="1" ht="13.8" x14ac:dyDescent="0.2"/>
    <row r="33" s="40" customFormat="1" ht="13.8" x14ac:dyDescent="0.2"/>
    <row r="34" s="40" customFormat="1" ht="13.8" x14ac:dyDescent="0.2"/>
    <row r="35" s="40" customFormat="1" ht="13.8" x14ac:dyDescent="0.2"/>
    <row r="36" s="40" customFormat="1" ht="13.8" x14ac:dyDescent="0.2"/>
    <row r="37" s="40" customFormat="1" ht="13.8" x14ac:dyDescent="0.2"/>
    <row r="38" s="40" customFormat="1" ht="13.5" customHeight="1" x14ac:dyDescent="0.2"/>
    <row r="39" s="40" customFormat="1" ht="13.5" customHeight="1" x14ac:dyDescent="0.2"/>
    <row r="40" s="40" customFormat="1" ht="13.5" customHeight="1" x14ac:dyDescent="0.2"/>
    <row r="41" s="40" customFormat="1" ht="13.5" hidden="1" customHeight="1" x14ac:dyDescent="0.2"/>
    <row r="42" s="40" customFormat="1" ht="13.5" hidden="1" customHeight="1" x14ac:dyDescent="0.2"/>
    <row r="43" s="40" customFormat="1" ht="13.5" hidden="1" customHeight="1" x14ac:dyDescent="0.2"/>
    <row r="44" s="40" customFormat="1" ht="13.5" hidden="1" customHeight="1" x14ac:dyDescent="0.2"/>
    <row r="45" s="40" customFormat="1" ht="13.5" hidden="1" customHeight="1" x14ac:dyDescent="0.2"/>
    <row r="46" s="40" customFormat="1" ht="13.5" hidden="1" customHeight="1" x14ac:dyDescent="0.2"/>
    <row r="47" s="40" customFormat="1" ht="13.5" customHeight="1" x14ac:dyDescent="0.2"/>
    <row r="48" s="40" customFormat="1" ht="13.5" customHeight="1" x14ac:dyDescent="0.2"/>
    <row r="49" s="40" customFormat="1" ht="13.5" customHeight="1" x14ac:dyDescent="0.2"/>
    <row r="50" s="40" customFormat="1" ht="13.5" customHeight="1" x14ac:dyDescent="0.2"/>
    <row r="51" s="40" customFormat="1" ht="13.5" customHeight="1" x14ac:dyDescent="0.2"/>
    <row r="52" s="40" customFormat="1" ht="13.5" customHeight="1" x14ac:dyDescent="0.2"/>
    <row r="53" s="40" customFormat="1" ht="13.5" customHeight="1" x14ac:dyDescent="0.2"/>
    <row r="54" s="40" customFormat="1" ht="13.5" customHeight="1" x14ac:dyDescent="0.2"/>
    <row r="55" s="40" customFormat="1" ht="13.5" customHeight="1" x14ac:dyDescent="0.2"/>
    <row r="56" s="40" customFormat="1" ht="13.5" customHeight="1" x14ac:dyDescent="0.2"/>
    <row r="57" s="40" customFormat="1" ht="13.5" customHeight="1" x14ac:dyDescent="0.2"/>
    <row r="58" s="40" customFormat="1" ht="13.5" customHeight="1" x14ac:dyDescent="0.2"/>
    <row r="59" s="40" customFormat="1" ht="13.5" customHeight="1" x14ac:dyDescent="0.2"/>
    <row r="60" s="40" customFormat="1" ht="13.5" customHeight="1" x14ac:dyDescent="0.2"/>
    <row r="61" s="40" customFormat="1" ht="13.5" customHeight="1" x14ac:dyDescent="0.2"/>
    <row r="62" s="40" customFormat="1" ht="13.5" customHeight="1" x14ac:dyDescent="0.2"/>
    <row r="63" s="40" customFormat="1" ht="13.5" customHeight="1" x14ac:dyDescent="0.2"/>
    <row r="64" s="40" customFormat="1" ht="13.5" hidden="1" customHeight="1" x14ac:dyDescent="0.2"/>
    <row r="65" s="40" customFormat="1" ht="13.5" hidden="1" customHeight="1" x14ac:dyDescent="0.2"/>
    <row r="66" s="40" customFormat="1" ht="13.5" hidden="1" customHeight="1" x14ac:dyDescent="0.2"/>
    <row r="67" s="40" customFormat="1" ht="13.5" hidden="1" customHeight="1" x14ac:dyDescent="0.2"/>
    <row r="68" s="40" customFormat="1" ht="13.5" hidden="1" customHeight="1" x14ac:dyDescent="0.2"/>
    <row r="69" s="40" customFormat="1" ht="13.5" hidden="1" customHeight="1" x14ac:dyDescent="0.2"/>
    <row r="70" s="40" customFormat="1" ht="13.5" customHeight="1" x14ac:dyDescent="0.2"/>
    <row r="71" s="40" customFormat="1" ht="13.5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3.8" x14ac:dyDescent="0.2"/>
  <cols>
    <col min="1" max="1" width="36.85546875" style="70" customWidth="1"/>
    <col min="2" max="2" width="28.140625" style="70" customWidth="1"/>
    <col min="3" max="3" width="23.140625" style="70" customWidth="1"/>
    <col min="4" max="4" width="9.28515625" style="70" customWidth="1"/>
    <col min="5" max="26" width="9.28515625" style="70" hidden="1" customWidth="1"/>
    <col min="27" max="55" width="9.140625" style="70" hidden="1" customWidth="1"/>
    <col min="56" max="56" width="9.28515625" style="70" hidden="1" customWidth="1"/>
    <col min="57" max="16384" width="9.28515625" style="70" hidden="1"/>
  </cols>
  <sheetData>
    <row r="1" spans="1:101" s="67" customFormat="1" ht="19.8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199999999999999" x14ac:dyDescent="0.2"/>
    <row r="3" spans="1:101" s="31" customFormat="1" ht="10.199999999999999" x14ac:dyDescent="0.2"/>
    <row r="4" spans="1:101" s="31" customFormat="1" ht="10.199999999999999" x14ac:dyDescent="0.2"/>
    <row r="5" spans="1:101" s="31" customFormat="1" ht="18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6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tabSelected="1" workbookViewId="0">
      <pane xSplit="9" ySplit="5" topLeftCell="J50" activePane="bottomRight" state="frozen"/>
      <selection pane="topRight"/>
      <selection pane="bottomLeft"/>
      <selection pane="bottomRight" activeCell="F73" sqref="F73"/>
    </sheetView>
  </sheetViews>
  <sheetFormatPr defaultColWidth="0" defaultRowHeight="13.8" outlineLevelRow="1" x14ac:dyDescent="0.2"/>
  <cols>
    <col min="1" max="4" width="1.42578125" style="70" customWidth="1"/>
    <col min="5" max="5" width="52.8554687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7"/>
      <c r="B6" s="7"/>
      <c r="C6" s="24"/>
      <c r="D6" s="45"/>
    </row>
    <row r="8" spans="1:19" x14ac:dyDescent="0.2">
      <c r="A8" s="69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3" spans="1:19" x14ac:dyDescent="0.2">
      <c r="A13" s="69" t="s">
        <v>27</v>
      </c>
    </row>
    <row r="14" spans="1:19" outlineLevel="1" x14ac:dyDescent="0.2"/>
    <row r="15" spans="1:19" outlineLevel="1" x14ac:dyDescent="0.2">
      <c r="E15" s="86" t="s">
        <v>28</v>
      </c>
      <c r="F15" s="104">
        <v>102.28672441595673</v>
      </c>
      <c r="G15" s="70" t="s">
        <v>29</v>
      </c>
    </row>
    <row r="16" spans="1:19" outlineLevel="1" x14ac:dyDescent="0.2">
      <c r="E16" s="86" t="s">
        <v>30</v>
      </c>
      <c r="F16" s="104">
        <v>148.27862667053029</v>
      </c>
      <c r="G16" s="70" t="s">
        <v>29</v>
      </c>
    </row>
    <row r="17" spans="1:7" outlineLevel="1" x14ac:dyDescent="0.2">
      <c r="E17" s="86" t="s">
        <v>31</v>
      </c>
      <c r="F17" s="104">
        <v>64.999238188899113</v>
      </c>
      <c r="G17" s="70" t="s">
        <v>29</v>
      </c>
    </row>
    <row r="18" spans="1:7" outlineLevel="1" x14ac:dyDescent="0.2">
      <c r="E18" s="86" t="s">
        <v>32</v>
      </c>
      <c r="F18" s="104">
        <v>90.633106078649021</v>
      </c>
      <c r="G18" s="70" t="s">
        <v>29</v>
      </c>
    </row>
    <row r="19" spans="1:7" outlineLevel="1" x14ac:dyDescent="0.2">
      <c r="E19" s="86" t="s">
        <v>33</v>
      </c>
      <c r="F19" s="99">
        <v>110.79951620337623</v>
      </c>
      <c r="G19" s="70" t="s">
        <v>29</v>
      </c>
    </row>
    <row r="20" spans="1:7" outlineLevel="1" x14ac:dyDescent="0.2">
      <c r="E20" s="86" t="s">
        <v>34</v>
      </c>
      <c r="F20" s="99">
        <v>153.17491321954992</v>
      </c>
      <c r="G20" s="70" t="s">
        <v>29</v>
      </c>
    </row>
    <row r="22" spans="1:7" x14ac:dyDescent="0.2">
      <c r="A22" s="69" t="s">
        <v>35</v>
      </c>
    </row>
    <row r="23" spans="1:7" outlineLevel="1" x14ac:dyDescent="0.2"/>
    <row r="24" spans="1:7" outlineLevel="1" x14ac:dyDescent="0.2">
      <c r="E24" s="86" t="s">
        <v>36</v>
      </c>
      <c r="F24" s="99">
        <v>137.82682400111042</v>
      </c>
      <c r="G24" s="70" t="s">
        <v>29</v>
      </c>
    </row>
    <row r="25" spans="1:7" outlineLevel="1" x14ac:dyDescent="0.2">
      <c r="E25" s="86" t="s">
        <v>37</v>
      </c>
      <c r="F25" s="99">
        <v>142.68694205653716</v>
      </c>
      <c r="G25" s="70" t="s">
        <v>29</v>
      </c>
    </row>
    <row r="26" spans="1:7" outlineLevel="1" x14ac:dyDescent="0.2">
      <c r="E26" s="86" t="s">
        <v>38</v>
      </c>
      <c r="F26" s="99">
        <v>410.77345208190934</v>
      </c>
      <c r="G26" s="70" t="s">
        <v>29</v>
      </c>
    </row>
    <row r="27" spans="1:7" outlineLevel="1" x14ac:dyDescent="0.2">
      <c r="E27" s="86" t="s">
        <v>39</v>
      </c>
      <c r="F27" s="99">
        <v>634.44955880257612</v>
      </c>
      <c r="G27" s="70" t="s">
        <v>29</v>
      </c>
    </row>
    <row r="29" spans="1:7" x14ac:dyDescent="0.2">
      <c r="A29" s="69" t="s">
        <v>40</v>
      </c>
    </row>
    <row r="30" spans="1:7" outlineLevel="1" x14ac:dyDescent="0.2"/>
    <row r="31" spans="1:7" outlineLevel="1" x14ac:dyDescent="0.2">
      <c r="E31" s="100" t="s">
        <v>41</v>
      </c>
      <c r="F31" s="105">
        <v>104.21666666666665</v>
      </c>
      <c r="G31" s="70" t="s">
        <v>42</v>
      </c>
    </row>
    <row r="32" spans="1:7" outlineLevel="1" x14ac:dyDescent="0.2">
      <c r="E32" s="100" t="s">
        <v>43</v>
      </c>
      <c r="F32" s="105">
        <v>123.04166666666664</v>
      </c>
      <c r="G32" s="70" t="s">
        <v>42</v>
      </c>
    </row>
    <row r="33" spans="1:7" outlineLevel="1" x14ac:dyDescent="0.2">
      <c r="E33" s="86" t="s">
        <v>44</v>
      </c>
      <c r="F33" s="99">
        <v>765.87456609774961</v>
      </c>
      <c r="G33" s="70" t="s">
        <v>29</v>
      </c>
    </row>
    <row r="34" spans="1:7" outlineLevel="1" x14ac:dyDescent="0.2">
      <c r="E34" s="86" t="s">
        <v>45</v>
      </c>
      <c r="F34" s="99">
        <v>553.9975810168811</v>
      </c>
      <c r="G34" s="70" t="s">
        <v>29</v>
      </c>
    </row>
    <row r="35" spans="1:7" outlineLevel="1" x14ac:dyDescent="0.2">
      <c r="E35" s="86" t="s">
        <v>46</v>
      </c>
      <c r="F35" s="99">
        <v>765.87456609774961</v>
      </c>
      <c r="G35" s="70" t="s">
        <v>29</v>
      </c>
    </row>
    <row r="36" spans="1:7" outlineLevel="1" x14ac:dyDescent="0.2">
      <c r="E36" s="86" t="s">
        <v>47</v>
      </c>
      <c r="F36" s="99">
        <v>55.417220490188981</v>
      </c>
      <c r="G36" s="70" t="s">
        <v>29</v>
      </c>
    </row>
    <row r="37" spans="1:7" outlineLevel="1" x14ac:dyDescent="0.2">
      <c r="E37" s="86" t="s">
        <v>48</v>
      </c>
      <c r="F37" s="99">
        <v>112.3314659465846</v>
      </c>
      <c r="G37" s="70" t="s">
        <v>29</v>
      </c>
    </row>
    <row r="38" spans="1:7" outlineLevel="1" x14ac:dyDescent="0.2">
      <c r="E38" s="86" t="s">
        <v>49</v>
      </c>
      <c r="F38" s="99">
        <v>154.64660270152598</v>
      </c>
      <c r="G38" s="70" t="s">
        <v>50</v>
      </c>
    </row>
    <row r="39" spans="1:7" outlineLevel="1" x14ac:dyDescent="0.2">
      <c r="E39" s="86" t="s">
        <v>51</v>
      </c>
      <c r="F39" s="99">
        <v>181.99725797067904</v>
      </c>
      <c r="G39" s="70" t="s">
        <v>50</v>
      </c>
    </row>
    <row r="41" spans="1:7" x14ac:dyDescent="0.2">
      <c r="A41" s="69" t="s">
        <v>52</v>
      </c>
    </row>
    <row r="42" spans="1:7" outlineLevel="1" x14ac:dyDescent="0.2"/>
    <row r="43" spans="1:7" outlineLevel="1" x14ac:dyDescent="0.2">
      <c r="E43" s="86" t="s">
        <v>53</v>
      </c>
      <c r="F43" s="99">
        <v>-3.3205870665163184</v>
      </c>
      <c r="G43" s="70" t="s">
        <v>29</v>
      </c>
    </row>
    <row r="44" spans="1:7" outlineLevel="1" x14ac:dyDescent="0.2">
      <c r="E44" s="86" t="s">
        <v>54</v>
      </c>
      <c r="F44" s="99">
        <v>21.069831781453761</v>
      </c>
      <c r="G44" s="70" t="s">
        <v>29</v>
      </c>
    </row>
    <row r="46" spans="1:7" x14ac:dyDescent="0.2">
      <c r="A46" s="69" t="s">
        <v>55</v>
      </c>
    </row>
    <row r="47" spans="1:7" outlineLevel="1" x14ac:dyDescent="0.2"/>
    <row r="48" spans="1:7" outlineLevel="1" x14ac:dyDescent="0.2">
      <c r="E48" s="86" t="s">
        <v>56</v>
      </c>
      <c r="F48" s="104">
        <v>9.6920751807261958</v>
      </c>
      <c r="G48" s="70" t="s">
        <v>29</v>
      </c>
    </row>
    <row r="49" spans="1:13" outlineLevel="1" x14ac:dyDescent="0.2">
      <c r="E49" s="86" t="s">
        <v>57</v>
      </c>
      <c r="F49" s="99">
        <v>0</v>
      </c>
      <c r="G49" s="70" t="s">
        <v>29</v>
      </c>
    </row>
    <row r="50" spans="1:13" outlineLevel="1" x14ac:dyDescent="0.2">
      <c r="E50" s="86" t="s">
        <v>58</v>
      </c>
      <c r="F50" s="99">
        <v>1.2070934995444227</v>
      </c>
      <c r="G50" s="70" t="s">
        <v>29</v>
      </c>
    </row>
    <row r="51" spans="1:13" outlineLevel="1" x14ac:dyDescent="0.2">
      <c r="E51" s="86" t="s">
        <v>59</v>
      </c>
      <c r="F51" s="99">
        <v>6.6959650493472562</v>
      </c>
      <c r="G51" s="70" t="s">
        <v>29</v>
      </c>
    </row>
    <row r="52" spans="1:13" outlineLevel="1" x14ac:dyDescent="0.2">
      <c r="E52" s="86" t="s">
        <v>60</v>
      </c>
      <c r="F52" s="99">
        <v>0</v>
      </c>
      <c r="G52" s="70" t="s">
        <v>29</v>
      </c>
    </row>
    <row r="53" spans="1:13" outlineLevel="1" x14ac:dyDescent="0.2">
      <c r="E53" s="86" t="s">
        <v>61</v>
      </c>
      <c r="F53" s="99">
        <v>0</v>
      </c>
      <c r="G53" s="70" t="s">
        <v>29</v>
      </c>
    </row>
    <row r="55" spans="1:13" x14ac:dyDescent="0.2">
      <c r="A55" s="69" t="s">
        <v>62</v>
      </c>
    </row>
    <row r="56" spans="1:13" outlineLevel="1" x14ac:dyDescent="0.2"/>
    <row r="57" spans="1:13" outlineLevel="1" x14ac:dyDescent="0.2">
      <c r="E57" s="101" t="s">
        <v>63</v>
      </c>
      <c r="F57" s="102">
        <v>0.78238737533491653</v>
      </c>
      <c r="G57" s="70" t="s">
        <v>64</v>
      </c>
      <c r="M57" s="108"/>
    </row>
    <row r="58" spans="1:13" outlineLevel="1" x14ac:dyDescent="0.2">
      <c r="E58" s="101" t="s">
        <v>65</v>
      </c>
      <c r="F58" s="102">
        <v>0.79371317403933228</v>
      </c>
      <c r="G58" s="70" t="s">
        <v>64</v>
      </c>
      <c r="M58" s="108"/>
    </row>
    <row r="59" spans="1:13" outlineLevel="1" x14ac:dyDescent="0.2">
      <c r="E59" s="70" t="s">
        <v>66</v>
      </c>
      <c r="F59" s="104">
        <v>375.05899457663082</v>
      </c>
      <c r="G59" s="70" t="s">
        <v>67</v>
      </c>
    </row>
    <row r="60" spans="1:13" outlineLevel="1" x14ac:dyDescent="0.2">
      <c r="E60" s="70" t="s">
        <v>68</v>
      </c>
      <c r="F60" s="104">
        <v>339.90922090672399</v>
      </c>
      <c r="G60" s="70" t="s">
        <v>67</v>
      </c>
    </row>
    <row r="61" spans="1:13" outlineLevel="1" x14ac:dyDescent="0.2">
      <c r="E61" s="70" t="s">
        <v>69</v>
      </c>
      <c r="F61" s="104">
        <v>440.95750081483828</v>
      </c>
      <c r="G61" s="70" t="s">
        <v>67</v>
      </c>
    </row>
    <row r="62" spans="1:13" outlineLevel="1" x14ac:dyDescent="0.2">
      <c r="E62" s="70" t="s">
        <v>70</v>
      </c>
      <c r="F62" s="104">
        <v>268.64224504329849</v>
      </c>
      <c r="G62" s="70" t="s">
        <v>67</v>
      </c>
    </row>
    <row r="64" spans="1:13" x14ac:dyDescent="0.2">
      <c r="A64" s="69" t="s">
        <v>71</v>
      </c>
    </row>
    <row r="65" spans="1:7" outlineLevel="1" x14ac:dyDescent="0.2"/>
    <row r="66" spans="1:7" outlineLevel="1" x14ac:dyDescent="0.2">
      <c r="E66" s="86" t="s">
        <v>72</v>
      </c>
      <c r="F66" s="104">
        <v>12.797119716546492</v>
      </c>
      <c r="G66" s="70" t="s">
        <v>29</v>
      </c>
    </row>
    <row r="67" spans="1:7" outlineLevel="1" x14ac:dyDescent="0.2">
      <c r="E67" s="86" t="s">
        <v>73</v>
      </c>
      <c r="F67" s="104">
        <v>14.57055961846485</v>
      </c>
      <c r="G67" s="70" t="s">
        <v>29</v>
      </c>
    </row>
    <row r="69" spans="1:7" x14ac:dyDescent="0.2">
      <c r="A69" s="69" t="s">
        <v>74</v>
      </c>
    </row>
    <row r="70" spans="1:7" outlineLevel="1" x14ac:dyDescent="0.2"/>
    <row r="71" spans="1:7" outlineLevel="1" x14ac:dyDescent="0.2">
      <c r="E71" s="86" t="s">
        <v>75</v>
      </c>
      <c r="F71" s="99">
        <v>410.32218817829272</v>
      </c>
      <c r="G71" s="70" t="s">
        <v>29</v>
      </c>
    </row>
    <row r="72" spans="1:7" outlineLevel="1" x14ac:dyDescent="0.2">
      <c r="E72" s="86" t="s">
        <v>76</v>
      </c>
      <c r="F72" s="99">
        <v>591.28303298629646</v>
      </c>
      <c r="G72" s="70" t="s">
        <v>29</v>
      </c>
    </row>
    <row r="73" spans="1:7" outlineLevel="1" x14ac:dyDescent="0.2">
      <c r="E73" s="86" t="s">
        <v>77</v>
      </c>
      <c r="F73" s="99">
        <v>0</v>
      </c>
      <c r="G73" s="70" t="s">
        <v>29</v>
      </c>
    </row>
    <row r="74" spans="1:7" outlineLevel="1" x14ac:dyDescent="0.2">
      <c r="E74" s="86" t="s">
        <v>78</v>
      </c>
      <c r="F74" s="99"/>
      <c r="G74" s="70" t="s">
        <v>29</v>
      </c>
    </row>
    <row r="75" spans="1:7" outlineLevel="1" x14ac:dyDescent="0.2">
      <c r="E75" s="86" t="s">
        <v>79</v>
      </c>
      <c r="F75" s="99">
        <v>0</v>
      </c>
      <c r="G75" s="70" t="s">
        <v>29</v>
      </c>
    </row>
    <row r="76" spans="1:7" outlineLevel="1" x14ac:dyDescent="0.2">
      <c r="E76" s="86" t="s">
        <v>80</v>
      </c>
      <c r="F76" s="99"/>
      <c r="G76" s="70" t="s">
        <v>29</v>
      </c>
    </row>
    <row r="77" spans="1:7" outlineLevel="1" x14ac:dyDescent="0.2">
      <c r="E77" s="86" t="s">
        <v>81</v>
      </c>
      <c r="F77" s="104">
        <v>1.8729</v>
      </c>
      <c r="G77" s="70" t="s">
        <v>29</v>
      </c>
    </row>
    <row r="78" spans="1:7" outlineLevel="1" x14ac:dyDescent="0.2">
      <c r="E78" s="86" t="s">
        <v>82</v>
      </c>
      <c r="F78" s="104">
        <v>19.179636971849003</v>
      </c>
      <c r="G78" s="70" t="s">
        <v>29</v>
      </c>
    </row>
    <row r="79" spans="1:7" outlineLevel="1" x14ac:dyDescent="0.2">
      <c r="E79" s="86" t="s">
        <v>83</v>
      </c>
      <c r="F79" s="99">
        <v>0</v>
      </c>
      <c r="G79" s="70" t="s">
        <v>29</v>
      </c>
    </row>
    <row r="80" spans="1:7" outlineLevel="1" x14ac:dyDescent="0.2">
      <c r="E80" s="86" t="s">
        <v>84</v>
      </c>
      <c r="F80" s="104">
        <v>7.236770480101276</v>
      </c>
      <c r="G80" s="70" t="s">
        <v>29</v>
      </c>
    </row>
    <row r="81" spans="1:7" outlineLevel="1" x14ac:dyDescent="0.2">
      <c r="E81" s="86" t="s">
        <v>85</v>
      </c>
      <c r="F81" s="104">
        <v>17.258942730839912</v>
      </c>
      <c r="G81" s="70" t="s">
        <v>29</v>
      </c>
    </row>
    <row r="82" spans="1:7" outlineLevel="1" x14ac:dyDescent="0.2">
      <c r="E82" s="86" t="s">
        <v>86</v>
      </c>
      <c r="F82" s="104">
        <v>65.268392899072893</v>
      </c>
      <c r="G82" s="70" t="s">
        <v>29</v>
      </c>
    </row>
    <row r="83" spans="1:7" outlineLevel="1" x14ac:dyDescent="0.2">
      <c r="E83" s="86" t="s">
        <v>87</v>
      </c>
      <c r="F83" s="104">
        <v>8.778913794483147</v>
      </c>
      <c r="G83" s="70" t="s">
        <v>29</v>
      </c>
    </row>
    <row r="84" spans="1:7" outlineLevel="1" x14ac:dyDescent="0.2">
      <c r="E84" s="86" t="s">
        <v>88</v>
      </c>
      <c r="F84" s="104">
        <v>19.911185327734003</v>
      </c>
      <c r="G84" s="70" t="s">
        <v>29</v>
      </c>
    </row>
    <row r="85" spans="1:7" outlineLevel="1" x14ac:dyDescent="0.2">
      <c r="E85" s="86" t="s">
        <v>89</v>
      </c>
      <c r="F85" s="99"/>
      <c r="G85" s="70" t="s">
        <v>29</v>
      </c>
    </row>
    <row r="86" spans="1:7" outlineLevel="1" x14ac:dyDescent="0.2">
      <c r="E86" s="86" t="s">
        <v>90</v>
      </c>
      <c r="F86" s="99"/>
      <c r="G86" s="70" t="s">
        <v>29</v>
      </c>
    </row>
    <row r="87" spans="1:7" outlineLevel="1" x14ac:dyDescent="0.2">
      <c r="E87" s="86" t="s">
        <v>91</v>
      </c>
      <c r="F87" s="104">
        <v>93.384677376167886</v>
      </c>
      <c r="G87" s="70" t="s">
        <v>29</v>
      </c>
    </row>
    <row r="88" spans="1:7" outlineLevel="1" x14ac:dyDescent="0.2">
      <c r="E88" s="86" t="s">
        <v>92</v>
      </c>
      <c r="F88" s="104">
        <v>38.514114687597896</v>
      </c>
      <c r="G88" s="70" t="s">
        <v>29</v>
      </c>
    </row>
    <row r="90" spans="1:7" x14ac:dyDescent="0.2">
      <c r="A90" s="69" t="s">
        <v>93</v>
      </c>
    </row>
    <row r="91" spans="1:7" outlineLevel="1" x14ac:dyDescent="0.2"/>
    <row r="92" spans="1:7" outlineLevel="1" x14ac:dyDescent="0.2">
      <c r="E92" s="70" t="s">
        <v>94</v>
      </c>
      <c r="F92" s="98">
        <v>1000</v>
      </c>
      <c r="G92" s="70" t="s">
        <v>95</v>
      </c>
    </row>
    <row r="93" spans="1:7" x14ac:dyDescent="0.2">
      <c r="E93" s="70" t="s">
        <v>96</v>
      </c>
      <c r="F93" s="98">
        <v>12</v>
      </c>
      <c r="G93" s="70" t="s">
        <v>97</v>
      </c>
    </row>
    <row r="96" spans="1:7" x14ac:dyDescent="0.2">
      <c r="B96" s="70" t="s">
        <v>98</v>
      </c>
    </row>
  </sheetData>
  <conditionalFormatting sqref="F2">
    <cfRule type="cellIs" dxfId="82" priority="3" stopIfTrue="1" operator="equal">
      <formula>""</formula>
    </cfRule>
  </conditionalFormatting>
  <conditionalFormatting sqref="F2:F3">
    <cfRule type="cellIs" dxfId="81" priority="1" stopIfTrue="1" operator="notEqual">
      <formula>0</formula>
    </cfRule>
  </conditionalFormatting>
  <conditionalFormatting sqref="J3:S3">
    <cfRule type="cellIs" dxfId="80" priority="4" operator="equal">
      <formula>"PPA ext."</formula>
    </cfRule>
    <cfRule type="cellIs" dxfId="79" priority="5" operator="equal">
      <formula>"Delay"</formula>
    </cfRule>
    <cfRule type="cellIs" dxfId="78" priority="6" operator="equal">
      <formula>"Fin Close"</formula>
    </cfRule>
    <cfRule type="cellIs" dxfId="77" priority="7" stopIfTrue="1" operator="equal">
      <formula>"Construction"</formula>
    </cfRule>
    <cfRule type="cellIs" dxfId="76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9" activePane="bottomRight" state="frozen"/>
      <selection pane="topRight"/>
      <selection pane="bottomLeft"/>
      <selection pane="bottomRight"/>
    </sheetView>
  </sheetViews>
  <sheetFormatPr defaultColWidth="0" defaultRowHeight="13.8" outlineLevelRow="1" x14ac:dyDescent="0.2"/>
  <cols>
    <col min="1" max="4" width="1.42578125" style="70" customWidth="1"/>
    <col min="5" max="5" width="30.140625" style="70" bestFit="1" customWidth="1"/>
    <col min="6" max="6" width="18.7109375" style="70" bestFit="1" customWidth="1"/>
    <col min="7" max="7" width="11.28515625" style="70" bestFit="1" customWidth="1"/>
    <col min="8" max="8" width="6.7109375" style="70" bestFit="1" customWidth="1"/>
    <col min="9" max="9" width="3.42578125" style="70" customWidth="1"/>
    <col min="10" max="19" width="11.425781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F2">
    <cfRule type="cellIs" dxfId="75" priority="3" stopIfTrue="1" operator="equal">
      <formula>""</formula>
    </cfRule>
  </conditionalFormatting>
  <conditionalFormatting sqref="F2:F3">
    <cfRule type="cellIs" dxfId="74" priority="1" stopIfTrue="1" operator="notEqual">
      <formula>0</formula>
    </cfRule>
  </conditionalFormatting>
  <conditionalFormatting sqref="J3:S3">
    <cfRule type="cellIs" dxfId="73" priority="9" operator="equal">
      <formula>"PPA ext."</formula>
    </cfRule>
    <cfRule type="cellIs" dxfId="72" priority="10" operator="equal">
      <formula>"Delay"</formula>
    </cfRule>
    <cfRule type="cellIs" dxfId="71" priority="11" operator="equal">
      <formula>"Fin Close"</formula>
    </cfRule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101" activePane="bottomRight" state="frozen"/>
      <selection pane="topRight"/>
      <selection pane="bottomLeft"/>
      <selection pane="bottomRight" activeCell="F112" sqref="F112"/>
    </sheetView>
  </sheetViews>
  <sheetFormatPr defaultColWidth="0" defaultRowHeight="13.8" x14ac:dyDescent="0.2"/>
  <cols>
    <col min="1" max="4" width="1.42578125" style="70" customWidth="1"/>
    <col min="5" max="5" width="58.2851562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102.28672441595673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120.76311258608676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64.999238188899113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76.740264821613252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90.633106078649021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76.740264821613252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13.892841257035769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t="shared" si="1"/>
        <v>76.740264821613252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t="shared" si="2"/>
        <v>120.76311258608676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0.63546113691718953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90.633106078649021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148.27862667053029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0.61123513289634446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0.61123513289634446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0.63546113691718953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-2.4226004020845071E-2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t="shared" si="5"/>
        <v>-2.4226004020845071E-2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148.27862667053029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-3.5921986059256521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13.892841257035769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-3.5921986059256521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17.485039862961422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110.79951620337623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130.81359801238204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153.17491321954992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130.81359801238204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709.59974585813677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31.51257499412683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6.1514468354502121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31.51257499412683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0.19520609904448274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13.892841257035769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709.59974585813677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19.578419155484347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19.578419155484347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0.19520609904448274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3.8218268287998756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17.485039862961422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t="shared" si="14"/>
        <v>13.892841257035769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xml:space="preserve">  F$86</f>
        <v>3.8218268287998756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4.8100164116579895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t="shared" si="16"/>
        <v>13.892841257035769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709.59974585813677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19.578419155484347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t="shared" si="17"/>
        <v>19.578419155484347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3.9041219808896542E-2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0.76436536575997505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t="shared" si="18"/>
        <v>0.76436536575997505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4.8100164116579895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-4.0456510458980146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F2">
    <cfRule type="cellIs" dxfId="68" priority="3" stopIfTrue="1" operator="equal">
      <formula>""</formula>
    </cfRule>
  </conditionalFormatting>
  <conditionalFormatting sqref="F2:F3">
    <cfRule type="cellIs" dxfId="67" priority="1" stopIfTrue="1" operator="notEqual">
      <formula>0</formula>
    </cfRule>
  </conditionalFormatting>
  <conditionalFormatting sqref="J3:S3">
    <cfRule type="cellIs" dxfId="66" priority="9" operator="equal">
      <formula>"PPA ext."</formula>
    </cfRule>
    <cfRule type="cellIs" dxfId="65" priority="10" operator="equal">
      <formula>"Delay"</formula>
    </cfRule>
    <cfRule type="cellIs" dxfId="64" priority="11" operator="equal">
      <formula>"Fin Close"</formula>
    </cfRule>
    <cfRule type="cellIs" dxfId="63" priority="12" stopIfTrue="1" operator="equal">
      <formula>"Construction"</formula>
    </cfRule>
    <cfRule type="cellIs" dxfId="62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x14ac:dyDescent="0.2"/>
  <cols>
    <col min="1" max="4" width="1.42578125" style="70" customWidth="1"/>
    <col min="5" max="5" width="36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410.77345208190934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484.97281464812016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137.82682400111042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162.72293750011158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142.68694205653716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162.72293750011158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-20.035995443574421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162.72293750011158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484.97281464812016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0.33553001856027298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142.68694205653716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634.44955880257612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0.22489879625077894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0.22489879625077894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0.33553001856027298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-0.11063122230949404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t="shared" si="5"/>
        <v>-0.11063122230949404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634.44955880257612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-70.189930184048208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-20.035995443574421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-70.189930184048208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50.153934740473787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-20.035995443574421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709.59974585813677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-28.235629396039862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-28.235629396039862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3.9041219808896542E-2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-1.1023534136933331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50.153934740473787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-20.035995443574421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-1.1023534136933331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2.7594017640408617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-70.189930184048208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-20.035995443574421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-1.1023534136933331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-3.861755177734195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F2">
    <cfRule type="cellIs" dxfId="61" priority="3" stopIfTrue="1" operator="equal">
      <formula>""</formula>
    </cfRule>
  </conditionalFormatting>
  <conditionalFormatting sqref="F2:F3">
    <cfRule type="cellIs" dxfId="60" priority="1" stopIfTrue="1" operator="notEqual">
      <formula>0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  <cfRule type="cellIs" dxfId="57" priority="11" operator="equal">
      <formula>"Fin Close"</formula>
    </cfRule>
    <cfRule type="cellIs" dxfId="56" priority="12" stopIfTrue="1" operator="equal">
      <formula>"Construction"</formula>
    </cfRule>
    <cfRule type="cellIs" dxfId="55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45" activePane="bottomRight" state="frozen"/>
      <selection pane="topRight"/>
      <selection pane="bottomLeft"/>
      <selection pane="bottomRight" activeCell="F56" sqref="F56"/>
    </sheetView>
  </sheetViews>
  <sheetFormatPr defaultColWidth="0" defaultRowHeight="13.8" outlineLevelRow="1" x14ac:dyDescent="0.2"/>
  <cols>
    <col min="1" max="4" width="1.42578125" style="70" customWidth="1"/>
    <col min="5" max="5" width="50.2851562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181.99725797067904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154.64660270152598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27.350655269153066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27.350655269153066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18.564583172035729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2.6346252616671251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6.1514468354502121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553.9975810168811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1.1806332960179113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654.06799006191022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765.87456609774961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654.06799006191022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709.59974585813677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157.56287497063417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xml:space="preserve">  F$24</f>
        <v>6.1514468354502121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t="shared" si="4"/>
        <v>157.56287497063417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3.9041219808896542E-2</v>
      </c>
      <c r="G44" s="75" t="s">
        <v>115</v>
      </c>
      <c r="M44" s="91"/>
    </row>
    <row r="48" spans="1:13" x14ac:dyDescent="0.2">
      <c r="A48" s="69" t="s">
        <v>139</v>
      </c>
    </row>
    <row r="49" spans="1:13" outlineLevel="1" x14ac:dyDescent="0.2">
      <c r="B49" s="69" t="s">
        <v>140</v>
      </c>
    </row>
    <row r="50" spans="1:13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55.417220490188981</v>
      </c>
      <c r="G50" s="88" t="str">
        <f xml:space="preserve">  InpS!G$36</f>
        <v>£m</v>
      </c>
      <c r="M50" s="89"/>
    </row>
    <row r="51" spans="1:13" outlineLevel="1" x14ac:dyDescent="0.2">
      <c r="E51" s="91" t="str">
        <f t="shared" ref="E51:G51" si="5" xml:space="preserve">  E$11</f>
        <v>CPIH factor</v>
      </c>
      <c r="F51" s="91">
        <f t="shared" si="5"/>
        <v>1.1806332960179113</v>
      </c>
      <c r="G51" s="91" t="str">
        <f t="shared" si="5"/>
        <v>factor</v>
      </c>
      <c r="M51" s="91"/>
    </row>
    <row r="52" spans="1:13" outlineLevel="1" x14ac:dyDescent="0.2">
      <c r="E52" s="70" t="s">
        <v>140</v>
      </c>
      <c r="F52" s="89">
        <f xml:space="preserve">  $F50 * $F51</f>
        <v>65.427415683483147</v>
      </c>
      <c r="G52" s="70" t="s">
        <v>29</v>
      </c>
      <c r="M52" s="89"/>
    </row>
    <row r="53" spans="1:13" outlineLevel="1" x14ac:dyDescent="0.2"/>
    <row r="54" spans="1:13" outlineLevel="1" x14ac:dyDescent="0.2"/>
    <row r="55" spans="1:13" outlineLevel="1" x14ac:dyDescent="0.2">
      <c r="B55" s="69" t="s">
        <v>141</v>
      </c>
    </row>
    <row r="56" spans="1:13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112.3314659465846</v>
      </c>
      <c r="G56" s="88" t="str">
        <f xml:space="preserve">  InpS!G$37</f>
        <v>£m</v>
      </c>
      <c r="M56" s="89"/>
    </row>
    <row r="57" spans="1:13" outlineLevel="1" x14ac:dyDescent="0.2">
      <c r="E57" s="89" t="str">
        <f t="shared" ref="E57:G57" si="6" xml:space="preserve">  E$52</f>
        <v>Final return on capital PR19</v>
      </c>
      <c r="F57" s="89">
        <f t="shared" si="6"/>
        <v>65.427415683483147</v>
      </c>
      <c r="G57" s="89" t="str">
        <f t="shared" si="6"/>
        <v>£m</v>
      </c>
      <c r="M57" s="89"/>
    </row>
    <row r="58" spans="1:13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709.59974585813677</v>
      </c>
      <c r="G58" s="72" t="str">
        <f xml:space="preserve">  'Cost to serve'!G$17</f>
        <v>000 customers</v>
      </c>
      <c r="M58" s="73"/>
    </row>
    <row r="59" spans="1:13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 x14ac:dyDescent="0.2">
      <c r="E60" s="70" t="s">
        <v>141</v>
      </c>
      <c r="F60" s="89">
        <f xml:space="preserve">  ( $F56 - $F57 ) / $F58 * $F59</f>
        <v>66.09930532934338</v>
      </c>
      <c r="G60" s="70" t="s">
        <v>50</v>
      </c>
      <c r="M60" s="89"/>
    </row>
    <row r="61" spans="1:13" outlineLevel="1" x14ac:dyDescent="0.2"/>
    <row r="62" spans="1:13" outlineLevel="1" x14ac:dyDescent="0.2"/>
    <row r="63" spans="1:13" outlineLevel="1" x14ac:dyDescent="0.2">
      <c r="B63" s="69" t="s">
        <v>139</v>
      </c>
    </row>
    <row r="64" spans="1:13" outlineLevel="1" x14ac:dyDescent="0.2">
      <c r="E64" s="89" t="str">
        <f t="shared" ref="E64:G64" si="7" xml:space="preserve">  E$60</f>
        <v>Pre-adjustment WACC</v>
      </c>
      <c r="F64" s="89">
        <f t="shared" si="7"/>
        <v>66.09930532934338</v>
      </c>
      <c r="G64" s="89" t="str">
        <f t="shared" si="7"/>
        <v>£ / customer</v>
      </c>
      <c r="M64" s="89"/>
    </row>
    <row r="65" spans="1:13" outlineLevel="1" x14ac:dyDescent="0.2">
      <c r="E65" s="91" t="str">
        <f t="shared" ref="E65:G65" si="8" xml:space="preserve">  E$44</f>
        <v>Adjustment factor</v>
      </c>
      <c r="F65" s="91">
        <f t="shared" si="8"/>
        <v>3.9041219808896542E-2</v>
      </c>
      <c r="G65" s="91" t="str">
        <f t="shared" si="8"/>
        <v>factor</v>
      </c>
      <c r="M65" s="91"/>
    </row>
    <row r="66" spans="1:13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2.5805975085782618</v>
      </c>
      <c r="G66" s="75" t="s">
        <v>50</v>
      </c>
      <c r="M66" s="89"/>
    </row>
    <row r="67" spans="1:13" outlineLevel="1" x14ac:dyDescent="0.2"/>
    <row r="70" spans="1:13" x14ac:dyDescent="0.2">
      <c r="B70" s="70" t="s">
        <v>98</v>
      </c>
    </row>
  </sheetData>
  <conditionalFormatting sqref="F2">
    <cfRule type="cellIs" dxfId="54" priority="3" stopIfTrue="1" operator="equal">
      <formula>""</formula>
    </cfRule>
  </conditionalFormatting>
  <conditionalFormatting sqref="F2:F3">
    <cfRule type="cellIs" dxfId="53" priority="1" stopIfTrue="1" operator="notEqual">
      <formula>0</formula>
    </cfRule>
  </conditionalFormatting>
  <conditionalFormatting sqref="J3:S3">
    <cfRule type="cellIs" dxfId="52" priority="9" operator="equal">
      <formula>"PPA ext."</formula>
    </cfRule>
    <cfRule type="cellIs" dxfId="51" priority="10" operator="equal">
      <formula>"Delay"</formula>
    </cfRule>
    <cfRule type="cellIs" dxfId="50" priority="11" operator="equal">
      <formula>"Fin Close"</formula>
    </cfRule>
    <cfRule type="cellIs" dxfId="49" priority="12" stopIfTrue="1" operator="equal">
      <formula>"Construction"</formula>
    </cfRule>
    <cfRule type="cellIs" dxfId="48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 activeCell="F24" sqref="F24"/>
    </sheetView>
  </sheetViews>
  <sheetFormatPr defaultColWidth="0" defaultRowHeight="13.8" x14ac:dyDescent="0.2"/>
  <cols>
    <col min="1" max="4" width="1.42578125" style="70" customWidth="1"/>
    <col min="5" max="5" width="50.85546875" style="70" bestFit="1" customWidth="1"/>
    <col min="6" max="6" width="18.7109375" style="70" bestFit="1" customWidth="1"/>
    <col min="7" max="7" width="17" style="70" bestFit="1" customWidth="1"/>
    <col min="8" max="8" width="6.7109375" style="70" bestFit="1" customWidth="1"/>
    <col min="9" max="9" width="3.42578125" style="70" customWidth="1"/>
    <col min="10" max="19" width="11.140625" style="70" bestFit="1" customWidth="1"/>
    <col min="20" max="20" width="15.140625" style="70" hidden="1" customWidth="1"/>
    <col min="21" max="16384" width="15.140625" style="70" hidden="1"/>
  </cols>
  <sheetData>
    <row r="1" spans="1:19" s="20" customFormat="1" ht="25.8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-3.3205870665163184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-3.9203956530556083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21.069831781453761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-3.9203956530556083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709.59974585813677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35.217356799202427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xml:space="preserve">  F$19</f>
        <v>35.217356799202427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3.9041219808896542E-2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1.374928567885999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47" priority="3" stopIfTrue="1" operator="equal">
      <formula>""</formula>
    </cfRule>
  </conditionalFormatting>
  <conditionalFormatting sqref="F2:F3">
    <cfRule type="cellIs" dxfId="46" priority="1" stopIfTrue="1" operator="notEqual">
      <formula>0</formula>
    </cfRule>
  </conditionalFormatting>
  <conditionalFormatting sqref="J3:S3">
    <cfRule type="cellIs" dxfId="45" priority="9" operator="equal">
      <formula>"PPA ext."</formula>
    </cfRule>
    <cfRule type="cellIs" dxfId="44" priority="10" operator="equal">
      <formula>"Delay"</formula>
    </cfRule>
    <cfRule type="cellIs" dxfId="43" priority="11" operator="equal">
      <formula>"Fin Close"</formula>
    </cfRule>
    <cfRule type="cellIs" dxfId="42" priority="12" stopIfTrue="1" operator="equal">
      <formula>"Construction"</formula>
    </cfRule>
    <cfRule type="cellIs" dxfId="41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8ad4ee-6218-4d77-88a6-1754fb90688b">
      <Terms xmlns="http://schemas.microsoft.com/office/infopath/2007/PartnerControls"/>
    </lcf76f155ced4ddcb4097134ff3c332f>
    <TaxCatchAll xmlns="7041854e-4853-44f9-9e63-23b7acad54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AD804AE75C743857909DA8A846B09" ma:contentTypeVersion="12" ma:contentTypeDescription="Create a new document." ma:contentTypeScope="" ma:versionID="e426144c14c6e964d8fb03acf865939f">
  <xsd:schema xmlns:xsd="http://www.w3.org/2001/XMLSchema" xmlns:xs="http://www.w3.org/2001/XMLSchema" xmlns:p="http://schemas.microsoft.com/office/2006/metadata/properties" xmlns:ns2="ae8ad4ee-6218-4d77-88a6-1754fb90688b" xmlns:ns3="8c0d6885-49fa-42d5-af40-adde4d45e6f3" xmlns:ns4="7041854e-4853-44f9-9e63-23b7acad5461" targetNamespace="http://schemas.microsoft.com/office/2006/metadata/properties" ma:root="true" ma:fieldsID="db99775850bf8819988e75faf787d087" ns2:_="" ns3:_="" ns4:_="">
    <xsd:import namespace="ae8ad4ee-6218-4d77-88a6-1754fb90688b"/>
    <xsd:import namespace="8c0d6885-49fa-42d5-af40-adde4d45e6f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ad4ee-6218-4d77-88a6-1754fb906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d6885-49fa-42d5-af40-adde4d45e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3768000-7a54-421f-b4be-3886de96dfb1}" ma:internalName="TaxCatchAll" ma:showField="CatchAllData" ma:web="8c0d6885-49fa-42d5-af40-adde4d45e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BDC36-4822-4574-A327-0049824AFF9D}">
  <ds:schemaRefs/>
</ds:datastoreItem>
</file>

<file path=customXml/itemProps2.xml><?xml version="1.0" encoding="utf-8"?>
<ds:datastoreItem xmlns:ds="http://schemas.openxmlformats.org/officeDocument/2006/customXml" ds:itemID="{507EA275-8470-4CC4-A226-AD2C1A6EE066}">
  <ds:schemaRefs>
    <ds:schemaRef ds:uri="http://purl.org/dc/terms/"/>
    <ds:schemaRef ds:uri="7041854e-4853-44f9-9e63-23b7acad546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ae8ad4ee-6218-4d77-88a6-1754fb90688b"/>
    <ds:schemaRef ds:uri="http://schemas.microsoft.com/office/2006/documentManagement/types"/>
    <ds:schemaRef ds:uri="http://purl.org/dc/dcmitype/"/>
    <ds:schemaRef ds:uri="http://schemas.microsoft.com/office/infopath/2007/PartnerControls"/>
    <ds:schemaRef ds:uri="8c0d6885-49fa-42d5-af40-adde4d45e6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C3F905-7BE9-41D8-8673-8D2F0B924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ad4ee-6218-4d77-88a6-1754fb90688b"/>
    <ds:schemaRef ds:uri="8c0d6885-49fa-42d5-af40-adde4d45e6f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Saynor</dc:creator>
  <cp:keywords/>
  <dc:description/>
  <cp:lastModifiedBy>Philip Saynor</cp:lastModifiedBy>
  <cp:revision/>
  <dcterms:created xsi:type="dcterms:W3CDTF">2023-07-13T12:43:34Z</dcterms:created>
  <dcterms:modified xsi:type="dcterms:W3CDTF">2023-09-30T16:05:48Z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0x0101006FBAD804AE75C743857909DA8A846B09</vt:lpwstr>
  </property>
  <property fmtid="{D5CDD505-2E9C-101B-9397-08002B2CF9AE}" pid="3" name="MediaServiceImageTags">
    <vt:lpwstr/>
  </property>
</Properties>
</file>